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esktop\cosas mias\cursos 2025\arica\avanzado\modulo 1\"/>
    </mc:Choice>
  </mc:AlternateContent>
  <xr:revisionPtr revIDLastSave="0" documentId="13_ncr:1_{7CB60F4D-9C54-48DE-91E4-7EBC63A554EF}" xr6:coauthVersionLast="47" xr6:coauthVersionMax="47" xr10:uidLastSave="{00000000-0000-0000-0000-000000000000}"/>
  <bookViews>
    <workbookView xWindow="-108" yWindow="-108" windowWidth="23256" windowHeight="12456" tabRatio="738" xr2:uid="{00000000-000D-0000-FFFF-FFFF00000000}"/>
  </bookViews>
  <sheets>
    <sheet name="Inicio" sheetId="1" r:id="rId1"/>
    <sheet name="BaseVisa" sheetId="7" r:id="rId2"/>
    <sheet name="ConsultaVisa" sheetId="8" r:id="rId3"/>
    <sheet name="Planilla" sheetId="12" r:id="rId4"/>
    <sheet name="Liquidación" sheetId="13" r:id="rId5"/>
    <sheet name="Base" sheetId="2" state="hidden" r:id="rId6"/>
    <sheet name="Consulta" sheetId="3" state="hidden" r:id="rId7"/>
    <sheet name="Base2" sheetId="9" state="hidden" r:id="rId8"/>
    <sheet name="Consulta2" sheetId="11" state="hidden" r:id="rId9"/>
    <sheet name="Hoja1" sheetId="18" state="hidden" r:id="rId10"/>
    <sheet name="Ejercicio" sheetId="14" state="hidden" r:id="rId11"/>
    <sheet name="Coincidir" sheetId="17" state="hidden" r:id="rId12"/>
  </sheets>
  <definedNames>
    <definedName name="anscount" hidden="1">1</definedName>
    <definedName name="automotriz">Base!$A$13:$I$30</definedName>
    <definedName name="Horas" localSheetId="10">Ejercicio!$F$18:$H$21</definedName>
    <definedName name="HORAS">Inicio!$A$65:$C$74</definedName>
    <definedName name="limcount" hidden="1">1</definedName>
    <definedName name="sencount" hidden="1">1</definedName>
    <definedName name="sueldos">Planilla!$A$3:$M$26</definedName>
    <definedName name="VISA">BaseVisa!$A$8:$H$17</definedName>
  </definedNames>
  <calcPr calcId="191029"/>
</workbook>
</file>

<file path=xl/calcChain.xml><?xml version="1.0" encoding="utf-8"?>
<calcChain xmlns="http://schemas.openxmlformats.org/spreadsheetml/2006/main">
  <c r="C8" i="13" l="1"/>
  <c r="I11" i="13"/>
  <c r="D14" i="13"/>
  <c r="D11" i="13"/>
  <c r="I36" i="12"/>
  <c r="B5" i="8"/>
  <c r="B7" i="8"/>
  <c r="B6" i="8"/>
  <c r="H8" i="13"/>
  <c r="I37" i="12"/>
  <c r="F31" i="12"/>
  <c r="I31" i="12"/>
  <c r="K31" i="12"/>
  <c r="F30" i="12"/>
  <c r="I30" i="12"/>
  <c r="K30" i="12"/>
  <c r="D31" i="12"/>
  <c r="D30" i="12"/>
  <c r="F29" i="12"/>
  <c r="I29" i="12"/>
  <c r="K29" i="12"/>
  <c r="D29" i="12"/>
  <c r="F28" i="12"/>
  <c r="I28" i="12"/>
  <c r="K28" i="12"/>
  <c r="D28" i="12"/>
  <c r="J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3" i="12"/>
  <c r="H11" i="12"/>
  <c r="H23" i="12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3" i="12"/>
  <c r="D15" i="13" s="1"/>
  <c r="E4" i="12"/>
  <c r="H4" i="12" s="1"/>
  <c r="E5" i="12"/>
  <c r="H5" i="12" s="1"/>
  <c r="E6" i="12"/>
  <c r="H6" i="12" s="1"/>
  <c r="E7" i="12"/>
  <c r="H7" i="12" s="1"/>
  <c r="E8" i="12"/>
  <c r="H8" i="12" s="1"/>
  <c r="E9" i="12"/>
  <c r="H9" i="12" s="1"/>
  <c r="E10" i="12"/>
  <c r="H10" i="12" s="1"/>
  <c r="E11" i="12"/>
  <c r="E12" i="12"/>
  <c r="H12" i="12" s="1"/>
  <c r="E13" i="12"/>
  <c r="H13" i="12" s="1"/>
  <c r="E14" i="12"/>
  <c r="H14" i="12" s="1"/>
  <c r="E15" i="12"/>
  <c r="H15" i="12" s="1"/>
  <c r="E16" i="12"/>
  <c r="H16" i="12" s="1"/>
  <c r="E17" i="12"/>
  <c r="H17" i="12" s="1"/>
  <c r="E18" i="12"/>
  <c r="H18" i="12" s="1"/>
  <c r="E19" i="12"/>
  <c r="H19" i="12" s="1"/>
  <c r="E20" i="12"/>
  <c r="H20" i="12" s="1"/>
  <c r="E21" i="12"/>
  <c r="H21" i="12" s="1"/>
  <c r="E22" i="12"/>
  <c r="H22" i="12" s="1"/>
  <c r="E23" i="12"/>
  <c r="E24" i="12"/>
  <c r="H24" i="12" s="1"/>
  <c r="E25" i="12"/>
  <c r="H25" i="12" s="1"/>
  <c r="E26" i="12"/>
  <c r="H26" i="12" s="1"/>
  <c r="E3" i="12"/>
  <c r="D13" i="13" s="1"/>
  <c r="B11" i="8"/>
  <c r="B10" i="8"/>
  <c r="B9" i="8"/>
  <c r="B8" i="8"/>
  <c r="B44" i="1"/>
  <c r="B43" i="1"/>
  <c r="C29" i="1"/>
  <c r="C28" i="1"/>
  <c r="C27" i="1"/>
  <c r="E5" i="14"/>
  <c r="F5" i="14" s="1"/>
  <c r="O5" i="14" s="1"/>
  <c r="Q5" i="14" s="1"/>
  <c r="E6" i="14"/>
  <c r="F6" i="14" s="1"/>
  <c r="O6" i="14" s="1"/>
  <c r="Q6" i="14" s="1"/>
  <c r="E7" i="14"/>
  <c r="F7" i="14" s="1"/>
  <c r="O7" i="14" s="1"/>
  <c r="Q7" i="14" s="1"/>
  <c r="E8" i="14"/>
  <c r="F8" i="14" s="1"/>
  <c r="O8" i="14" s="1"/>
  <c r="Q8" i="14" s="1"/>
  <c r="E9" i="14"/>
  <c r="F9" i="14" s="1"/>
  <c r="O9" i="14" s="1"/>
  <c r="Q9" i="14" s="1"/>
  <c r="E10" i="14"/>
  <c r="F10" i="14" s="1"/>
  <c r="O10" i="14" s="1"/>
  <c r="Q10" i="14" s="1"/>
  <c r="E11" i="14"/>
  <c r="F11" i="14" s="1"/>
  <c r="O11" i="14" s="1"/>
  <c r="Q11" i="14" s="1"/>
  <c r="E12" i="14"/>
  <c r="F12" i="14" s="1"/>
  <c r="O12" i="14" s="1"/>
  <c r="Q12" i="14" s="1"/>
  <c r="E4" i="14"/>
  <c r="F4" i="14" s="1"/>
  <c r="O4" i="14" s="1"/>
  <c r="Q4" i="14" s="1"/>
  <c r="K5" i="14"/>
  <c r="K6" i="14"/>
  <c r="K7" i="14"/>
  <c r="K8" i="14"/>
  <c r="K9" i="14"/>
  <c r="K10" i="14"/>
  <c r="K11" i="14"/>
  <c r="K12" i="14"/>
  <c r="K4" i="14"/>
  <c r="I5" i="14"/>
  <c r="I6" i="14"/>
  <c r="I7" i="14"/>
  <c r="I8" i="14"/>
  <c r="I9" i="14"/>
  <c r="I10" i="14"/>
  <c r="I11" i="14"/>
  <c r="I12" i="14"/>
  <c r="I4" i="14"/>
  <c r="C69" i="1"/>
  <c r="C70" i="1" s="1"/>
  <c r="C71" i="1" s="1"/>
  <c r="C72" i="1" s="1"/>
  <c r="C73" i="1" s="1"/>
  <c r="C74" i="1" s="1"/>
  <c r="A69" i="1"/>
  <c r="E53" i="1" s="1"/>
  <c r="B69" i="1"/>
  <c r="A70" i="1" s="1"/>
  <c r="B70" i="1" s="1"/>
  <c r="A71" i="1" s="1"/>
  <c r="B71" i="1" s="1"/>
  <c r="A72" i="1" s="1"/>
  <c r="B72" i="1" s="1"/>
  <c r="A73" i="1" s="1"/>
  <c r="B73" i="1" s="1"/>
  <c r="A74" i="1" s="1"/>
  <c r="B74" i="1" s="1"/>
  <c r="R6" i="14" l="1"/>
  <c r="J31" i="12"/>
  <c r="R10" i="14"/>
  <c r="R8" i="14"/>
  <c r="L26" i="12"/>
  <c r="M26" i="12" s="1"/>
  <c r="L24" i="12"/>
  <c r="M24" i="12" s="1"/>
  <c r="L22" i="12"/>
  <c r="M22" i="12" s="1"/>
  <c r="L20" i="12"/>
  <c r="M20" i="12" s="1"/>
  <c r="L18" i="12"/>
  <c r="M18" i="12" s="1"/>
  <c r="L16" i="12"/>
  <c r="M16" i="12" s="1"/>
  <c r="L14" i="12"/>
  <c r="M14" i="12" s="1"/>
  <c r="L12" i="12"/>
  <c r="M12" i="12" s="1"/>
  <c r="L10" i="12"/>
  <c r="M10" i="12" s="1"/>
  <c r="L8" i="12"/>
  <c r="M8" i="12" s="1"/>
  <c r="M6" i="12"/>
  <c r="L6" i="12"/>
  <c r="L4" i="12"/>
  <c r="M4" i="12" s="1"/>
  <c r="R12" i="14"/>
  <c r="E60" i="1"/>
  <c r="E58" i="1"/>
  <c r="E56" i="1"/>
  <c r="E54" i="1"/>
  <c r="G28" i="12"/>
  <c r="E28" i="12"/>
  <c r="G29" i="12"/>
  <c r="E29" i="12"/>
  <c r="J30" i="12"/>
  <c r="G31" i="12"/>
  <c r="E31" i="12"/>
  <c r="D12" i="13"/>
  <c r="D19" i="13" s="1"/>
  <c r="H3" i="12"/>
  <c r="E52" i="1"/>
  <c r="E59" i="1"/>
  <c r="E57" i="1"/>
  <c r="E55" i="1"/>
  <c r="L25" i="12"/>
  <c r="M25" i="12" s="1"/>
  <c r="L23" i="12"/>
  <c r="M23" i="12" s="1"/>
  <c r="L21" i="12"/>
  <c r="M21" i="12" s="1"/>
  <c r="L19" i="12"/>
  <c r="M19" i="12" s="1"/>
  <c r="I38" i="12" s="1"/>
  <c r="L17" i="12"/>
  <c r="M17" i="12" s="1"/>
  <c r="L15" i="12"/>
  <c r="M15" i="12" s="1"/>
  <c r="L13" i="12"/>
  <c r="M13" i="12" s="1"/>
  <c r="L11" i="12"/>
  <c r="M11" i="12" s="1"/>
  <c r="L9" i="12"/>
  <c r="M9" i="12" s="1"/>
  <c r="L7" i="12"/>
  <c r="M7" i="12" s="1"/>
  <c r="L5" i="12"/>
  <c r="M5" i="12" s="1"/>
  <c r="J28" i="12"/>
  <c r="J29" i="12"/>
  <c r="G30" i="12"/>
  <c r="E30" i="12"/>
  <c r="R4" i="14"/>
  <c r="R9" i="14"/>
  <c r="R5" i="14"/>
  <c r="R11" i="14"/>
  <c r="R7" i="14"/>
  <c r="H31" i="12" l="1"/>
  <c r="H29" i="12"/>
  <c r="H28" i="12"/>
  <c r="L3" i="12"/>
  <c r="M3" i="12" s="1"/>
  <c r="H30" i="12"/>
  <c r="I12" i="13" l="1"/>
  <c r="I19" i="13" s="1"/>
  <c r="I21" i="13" s="1"/>
  <c r="L31" i="12"/>
  <c r="L29" i="12"/>
  <c r="L28" i="12"/>
  <c r="L30" i="12"/>
  <c r="M30" i="12"/>
  <c r="M31" i="12"/>
  <c r="M29" i="12"/>
  <c r="M28" i="12"/>
</calcChain>
</file>

<file path=xl/sharedStrings.xml><?xml version="1.0" encoding="utf-8"?>
<sst xmlns="http://schemas.openxmlformats.org/spreadsheetml/2006/main" count="631" uniqueCount="418">
  <si>
    <t>Aquí veremos un ejemplo del Buscarv con el COINCIDIR</t>
  </si>
  <si>
    <t>Funcion COINCIDIR : Busca el numero de lugar donde encuentra el valor buscado.</t>
  </si>
  <si>
    <t>Buscar</t>
  </si>
  <si>
    <t>=COINCIDIR( VALORBUSCADO ; MATRIZ ; 0 )</t>
  </si>
  <si>
    <t>Aquí ahora combinamos el BUSCARV con el COINCIDIR</t>
  </si>
  <si>
    <t>=BUSCARV( ciudad origen ; base de datos ;COINCIDIR(ciudad destino ; seleccionar titulos primera fila ;0);0)</t>
  </si>
  <si>
    <t>Funciones de Busqueda y Referencia</t>
  </si>
  <si>
    <t xml:space="preserve">Son Funciones que sirven para buscar un dato determinado en un rango de datos ... </t>
  </si>
  <si>
    <t>Funcion BuscarV</t>
  </si>
  <si>
    <t>Total</t>
  </si>
  <si>
    <t>Ejercicio  1</t>
  </si>
  <si>
    <t>N° Factura</t>
  </si>
  <si>
    <t>Rut Cliente</t>
  </si>
  <si>
    <t>Nombre</t>
  </si>
  <si>
    <t>Direccion</t>
  </si>
  <si>
    <t>Región Cliente</t>
  </si>
  <si>
    <t>Deuda Actual</t>
  </si>
  <si>
    <t>Intereses Mora</t>
  </si>
  <si>
    <t>Cuotas Pactadas</t>
  </si>
  <si>
    <t>Ana Diaz</t>
  </si>
  <si>
    <t>Las Torcazas 256</t>
  </si>
  <si>
    <t>Juan Gonzalez</t>
  </si>
  <si>
    <t>Av Tome 041b</t>
  </si>
  <si>
    <t>RM</t>
  </si>
  <si>
    <t>Eduardo Perez</t>
  </si>
  <si>
    <t>Miraflores 6748</t>
  </si>
  <si>
    <t>RUT</t>
  </si>
  <si>
    <t>NOMBRE</t>
  </si>
  <si>
    <t>A.PATERNO</t>
  </si>
  <si>
    <t>A.MATERNO</t>
  </si>
  <si>
    <t>F.NACIM.</t>
  </si>
  <si>
    <t>DIRECCION</t>
  </si>
  <si>
    <t>COMUNA</t>
  </si>
  <si>
    <t>CIUDAD</t>
  </si>
  <si>
    <t>REGION</t>
  </si>
  <si>
    <t>5526377-K</t>
  </si>
  <si>
    <t>VARGAS</t>
  </si>
  <si>
    <t>DIAZ</t>
  </si>
  <si>
    <t>SAZIE 1240</t>
  </si>
  <si>
    <t>STGO</t>
  </si>
  <si>
    <t>METROP.</t>
  </si>
  <si>
    <t>10468723-4</t>
  </si>
  <si>
    <t>VALDES</t>
  </si>
  <si>
    <t>CEA</t>
  </si>
  <si>
    <t>CHACABUCO 25</t>
  </si>
  <si>
    <t>CONCEP</t>
  </si>
  <si>
    <t>VIII</t>
  </si>
  <si>
    <t>4879357-6</t>
  </si>
  <si>
    <t>CALLE 4</t>
  </si>
  <si>
    <t>ARICA</t>
  </si>
  <si>
    <t>I</t>
  </si>
  <si>
    <t>Santiago</t>
  </si>
  <si>
    <t>CALLE G</t>
  </si>
  <si>
    <t>40000000-k</t>
  </si>
  <si>
    <t>Consulte por su Rut</t>
  </si>
  <si>
    <t>Creditos Stafhax</t>
  </si>
  <si>
    <t>Seccion</t>
  </si>
  <si>
    <t>=Buscarv(Celda Objetivo ;  Base de Datos ; Numero Campo Referencia ; 0 )</t>
  </si>
  <si>
    <t>Cod Ejecutivo</t>
  </si>
  <si>
    <t>EJE01</t>
  </si>
  <si>
    <t>EJE02</t>
  </si>
  <si>
    <t>EJE03</t>
  </si>
  <si>
    <t>EJE04</t>
  </si>
  <si>
    <t>EJE05</t>
  </si>
  <si>
    <t>EJE06</t>
  </si>
  <si>
    <t>Nº Ventas</t>
  </si>
  <si>
    <t>Importacion</t>
  </si>
  <si>
    <t>Credito Consumo</t>
  </si>
  <si>
    <t>Hipotecario</t>
  </si>
  <si>
    <t>Credito Automotriz</t>
  </si>
  <si>
    <t>Sucursal</t>
  </si>
  <si>
    <t>Valparaiso</t>
  </si>
  <si>
    <t>Coquimbo</t>
  </si>
  <si>
    <t>Arica</t>
  </si>
  <si>
    <t>Viña del Mar</t>
  </si>
  <si>
    <t>&lt;------- Celda objetivo</t>
  </si>
  <si>
    <t>Ismael Pino</t>
  </si>
  <si>
    <t>Eduardo Morales</t>
  </si>
  <si>
    <t>Jose Chavez</t>
  </si>
  <si>
    <t>Carlos Expinoza</t>
  </si>
  <si>
    <t>Ruben Andrade</t>
  </si>
  <si>
    <t>Joaquin Mike</t>
  </si>
  <si>
    <t>Roberto Ruhzk</t>
  </si>
  <si>
    <t>Torcazas 988</t>
  </si>
  <si>
    <t>Torres 763</t>
  </si>
  <si>
    <t>Manine 0332</t>
  </si>
  <si>
    <t>Alameda 1351</t>
  </si>
  <si>
    <t>A Prat 1200</t>
  </si>
  <si>
    <t>Sn Diego 1450</t>
  </si>
  <si>
    <t>Miraflores 300</t>
  </si>
  <si>
    <t>12656842-8</t>
  </si>
  <si>
    <t>13027056-5</t>
  </si>
  <si>
    <t>8314148-4</t>
  </si>
  <si>
    <t>11927361-7</t>
  </si>
  <si>
    <t>10007348-K</t>
  </si>
  <si>
    <t>MARIA SOLEDAD</t>
  </si>
  <si>
    <t>13901020-5</t>
  </si>
  <si>
    <t>RODRIGO ALEJANDRO</t>
  </si>
  <si>
    <t>RIVAS</t>
  </si>
  <si>
    <t>13933303-9</t>
  </si>
  <si>
    <t>KATTY ISABEL</t>
  </si>
  <si>
    <t>CLAUDIA ANDREA</t>
  </si>
  <si>
    <t>CAROLINA VERONICA</t>
  </si>
  <si>
    <t>ALEXANDER IGOR</t>
  </si>
  <si>
    <t>DESIREE ALEJANDRA</t>
  </si>
  <si>
    <t>SOLANGE</t>
  </si>
  <si>
    <t>CHRISTIAN</t>
  </si>
  <si>
    <t>LORENA VERONICA</t>
  </si>
  <si>
    <t>ANDRES FELIPE</t>
  </si>
  <si>
    <t>ASTORGA</t>
  </si>
  <si>
    <t>VALDIVIA</t>
  </si>
  <si>
    <t>CASANGA</t>
  </si>
  <si>
    <t>SAAVEDRA</t>
  </si>
  <si>
    <t>GONZALEZ</t>
  </si>
  <si>
    <t>MUÑOZ</t>
  </si>
  <si>
    <t>GUZMAN</t>
  </si>
  <si>
    <t>MAYA</t>
  </si>
  <si>
    <t>MARTINEZ</t>
  </si>
  <si>
    <t>AISING</t>
  </si>
  <si>
    <t>RUZ</t>
  </si>
  <si>
    <t>FIGUEROA</t>
  </si>
  <si>
    <t>HERRERA</t>
  </si>
  <si>
    <t>ARAYA</t>
  </si>
  <si>
    <t>COLTTERS</t>
  </si>
  <si>
    <t>VALENCIA</t>
  </si>
  <si>
    <t>ARACENA</t>
  </si>
  <si>
    <t>CARTES</t>
  </si>
  <si>
    <t>GARRIDO</t>
  </si>
  <si>
    <t>CLAVERIA</t>
  </si>
  <si>
    <t>RIVERA</t>
  </si>
  <si>
    <t>BARDALES</t>
  </si>
  <si>
    <t>SCHWANER</t>
  </si>
  <si>
    <t>VASQUEZ</t>
  </si>
  <si>
    <t>CABRERA</t>
  </si>
  <si>
    <t>TAMAYO</t>
  </si>
  <si>
    <t>PARDO</t>
  </si>
  <si>
    <t>MORAGA</t>
  </si>
  <si>
    <t>7431058-3</t>
  </si>
  <si>
    <t>XIMENA DEL CARMEN</t>
  </si>
  <si>
    <t>10066539-5</t>
  </si>
  <si>
    <t>JACQUELINE ELISA</t>
  </si>
  <si>
    <t>9195258-0</t>
  </si>
  <si>
    <t>IRENIA MARIA</t>
  </si>
  <si>
    <t>13268687-4</t>
  </si>
  <si>
    <t>BERENICE PAOLA</t>
  </si>
  <si>
    <t>13490087-3</t>
  </si>
  <si>
    <t>SOLANGE ANDREA</t>
  </si>
  <si>
    <t>9579588-9</t>
  </si>
  <si>
    <t>ISABEL MARGARITA</t>
  </si>
  <si>
    <t>12226548-K</t>
  </si>
  <si>
    <t>Para Clientes del Club de la Citroneta</t>
  </si>
  <si>
    <t>LA CARNE 251</t>
  </si>
  <si>
    <t>ALAMEDA 54</t>
  </si>
  <si>
    <t>SAN DIEGO 541</t>
  </si>
  <si>
    <t>SANJUAKO 321231</t>
  </si>
  <si>
    <t>ESCARAMELO 12</t>
  </si>
  <si>
    <t>RANCAGUA 212</t>
  </si>
  <si>
    <t>PTE BULNES 122</t>
  </si>
  <si>
    <t>JUAN BALZA 21</t>
  </si>
  <si>
    <t>SIDY ENTES 44</t>
  </si>
  <si>
    <t>LLOSOY LABACA 2121</t>
  </si>
  <si>
    <t>SAFETY DANCE 21</t>
  </si>
  <si>
    <t>CIRCO LARGO 114</t>
  </si>
  <si>
    <t>VIDA DURA 2424</t>
  </si>
  <si>
    <t>CLASES Y RELAX 4254</t>
  </si>
  <si>
    <t>LAS CONDES</t>
  </si>
  <si>
    <t>PARINACOTA</t>
  </si>
  <si>
    <t>PUTE</t>
  </si>
  <si>
    <t>LA GRANJA</t>
  </si>
  <si>
    <t>TALCAHUANO</t>
  </si>
  <si>
    <t>SAN JOAQUIN</t>
  </si>
  <si>
    <t>VALPO</t>
  </si>
  <si>
    <t>VIÑA</t>
  </si>
  <si>
    <t xml:space="preserve">V </t>
  </si>
  <si>
    <t>V</t>
  </si>
  <si>
    <t xml:space="preserve">EMPRESA VALYANT </t>
  </si>
  <si>
    <t xml:space="preserve"> </t>
  </si>
  <si>
    <t>Tarificacion de servicios</t>
  </si>
  <si>
    <t>REPARACIONES GAS</t>
  </si>
  <si>
    <t xml:space="preserve">Ítem </t>
  </si>
  <si>
    <t>Cachimba de cocina</t>
  </si>
  <si>
    <t>Calefactor Ego 1200w 220v.</t>
  </si>
  <si>
    <t>Cambio de cámara completa de horno</t>
  </si>
  <si>
    <t>Instalación de calefont</t>
  </si>
  <si>
    <t>Instalación de cocina</t>
  </si>
  <si>
    <t>Instalación de horno</t>
  </si>
  <si>
    <t>Llave con válvula seguridad</t>
  </si>
  <si>
    <t>Llave de gas RI089</t>
  </si>
  <si>
    <t>Llave Tomlinson Hervidores Biggi</t>
  </si>
  <si>
    <t>Mantenimiento de calefont en lugar</t>
  </si>
  <si>
    <t>Mantenimiento de calefont en taller</t>
  </si>
  <si>
    <t>Mantenimiento de cocina 4 platos</t>
  </si>
  <si>
    <t>Mantenimiento de horno</t>
  </si>
  <si>
    <t>Perilla Aluminio Maigas</t>
  </si>
  <si>
    <t>Quemador 140 mm. Cocinas biggi</t>
  </si>
  <si>
    <t>Quemador 170Isq. O Venturi corto</t>
  </si>
  <si>
    <t>Quemador 170Isq.O Derch. Venturi Largo</t>
  </si>
  <si>
    <t>Quemador 180 mm. Cocinas biggi</t>
  </si>
  <si>
    <t>Quemador horno Biggi</t>
  </si>
  <si>
    <t>Termocupla Horno Biggi</t>
  </si>
  <si>
    <t>Termocupla Horno Maigas</t>
  </si>
  <si>
    <t>Visita mínima</t>
  </si>
  <si>
    <t>Valor</t>
  </si>
  <si>
    <t>Codigo</t>
  </si>
  <si>
    <t>Pro1</t>
  </si>
  <si>
    <t>Pro2</t>
  </si>
  <si>
    <t>Pro3</t>
  </si>
  <si>
    <t>Pro4</t>
  </si>
  <si>
    <t>Pro5</t>
  </si>
  <si>
    <t>Pro6</t>
  </si>
  <si>
    <t>Pro7</t>
  </si>
  <si>
    <t>Pro8</t>
  </si>
  <si>
    <t>Pro9</t>
  </si>
  <si>
    <t>Pro10</t>
  </si>
  <si>
    <t>Pro11</t>
  </si>
  <si>
    <t>Pro12</t>
  </si>
  <si>
    <t>Pro13</t>
  </si>
  <si>
    <t>Pro14</t>
  </si>
  <si>
    <t>Pro15</t>
  </si>
  <si>
    <t>Pro16</t>
  </si>
  <si>
    <t>Pro17</t>
  </si>
  <si>
    <t>Pro18</t>
  </si>
  <si>
    <t>Pro19</t>
  </si>
  <si>
    <t>Pro20</t>
  </si>
  <si>
    <t>Pro21</t>
  </si>
  <si>
    <t>Pro22</t>
  </si>
  <si>
    <t>Cantidad</t>
  </si>
  <si>
    <t>Neto</t>
  </si>
  <si>
    <t>Iva</t>
  </si>
  <si>
    <t>Flete</t>
  </si>
  <si>
    <t>Total Final</t>
  </si>
  <si>
    <t>Formulas :</t>
  </si>
  <si>
    <t>&gt; Neto = Cantidad * Valor Unitario</t>
  </si>
  <si>
    <t>&gt; Iva = Neto * 0,19</t>
  </si>
  <si>
    <t>&gt; Total = Neto + Iva</t>
  </si>
  <si>
    <t>&gt; Flete = Total * 0,03</t>
  </si>
  <si>
    <t>&gt; Total Final = Total + Flete</t>
  </si>
  <si>
    <t>Dpto</t>
  </si>
  <si>
    <t>Sueldo</t>
  </si>
  <si>
    <t>Blanca</t>
  </si>
  <si>
    <t>Informática</t>
  </si>
  <si>
    <t>Carlos</t>
  </si>
  <si>
    <t>Finanzas</t>
  </si>
  <si>
    <t>José</t>
  </si>
  <si>
    <t>Juan</t>
  </si>
  <si>
    <t>Contabilidad</t>
  </si>
  <si>
    <t>María</t>
  </si>
  <si>
    <t>Recursos Humanos</t>
  </si>
  <si>
    <t>Marta</t>
  </si>
  <si>
    <t>Ejemplo 1</t>
  </si>
  <si>
    <t>Ejemplo 2</t>
  </si>
  <si>
    <t>Planilla de Sueldos</t>
  </si>
  <si>
    <t>No</t>
  </si>
  <si>
    <t>Empleado</t>
  </si>
  <si>
    <t>Departamento</t>
  </si>
  <si>
    <t>Gratificación</t>
  </si>
  <si>
    <t>Hrs. Extras</t>
  </si>
  <si>
    <t>Valor Horas</t>
  </si>
  <si>
    <t>Haberes</t>
  </si>
  <si>
    <t>Mov.- Colac.</t>
  </si>
  <si>
    <t>Bono Prod.</t>
  </si>
  <si>
    <t>Anticipos</t>
  </si>
  <si>
    <t>Desc. Legales</t>
  </si>
  <si>
    <t>Líquido</t>
  </si>
  <si>
    <t>Arturo López</t>
  </si>
  <si>
    <t>Pedro López</t>
  </si>
  <si>
    <t>Manuel López</t>
  </si>
  <si>
    <t>Luis López</t>
  </si>
  <si>
    <t>Marcelo López</t>
  </si>
  <si>
    <t>Alejandro López</t>
  </si>
  <si>
    <t>Juan Pérez</t>
  </si>
  <si>
    <t>Manuel Jorquera</t>
  </si>
  <si>
    <t>Luis Mujica</t>
  </si>
  <si>
    <t>Luis Pacheco</t>
  </si>
  <si>
    <t>Marcelo Tapia</t>
  </si>
  <si>
    <t>Luis Soto</t>
  </si>
  <si>
    <t>Pedro Soto</t>
  </si>
  <si>
    <t>Octavio Soto</t>
  </si>
  <si>
    <t>Marcelo Soto</t>
  </si>
  <si>
    <t>Juan Soto</t>
  </si>
  <si>
    <t>Raúl Soto</t>
  </si>
  <si>
    <t>Luis Ramírez</t>
  </si>
  <si>
    <t>Manuel Vargas</t>
  </si>
  <si>
    <t>Luis Vargas</t>
  </si>
  <si>
    <t>José Vargas</t>
  </si>
  <si>
    <t>Arturo Vargas</t>
  </si>
  <si>
    <t>Juan Vargas</t>
  </si>
  <si>
    <t>Gustavo Vargas</t>
  </si>
  <si>
    <t>Promedio</t>
  </si>
  <si>
    <t>Máximo</t>
  </si>
  <si>
    <t>Mínimo</t>
  </si>
  <si>
    <t>EmpleadosN°</t>
  </si>
  <si>
    <t>Liquido</t>
  </si>
  <si>
    <t>Formulas</t>
  </si>
  <si>
    <t>Gratificación  = Sueldo * 0,25</t>
  </si>
  <si>
    <t>Valor Hora = Hrs. Extras * 3000</t>
  </si>
  <si>
    <t>Bono = Sueldo * 0,1523</t>
  </si>
  <si>
    <t>Descuentos Legales = Haberes * 0,21</t>
  </si>
  <si>
    <t>Liquido = Haberes + Mov.-Colac. + Bono Prod - Anticipos - Descuentos Legales</t>
  </si>
  <si>
    <t>Haberes = Suma de Sueldo + Gratificacion + Valor Horas</t>
  </si>
  <si>
    <t>Práctica de Planillas de Cálculo</t>
  </si>
  <si>
    <t>Juan Perez</t>
  </si>
  <si>
    <t>Pedro Ramirez</t>
  </si>
  <si>
    <t>Luis Jorquera</t>
  </si>
  <si>
    <t>Alejandro Lopez</t>
  </si>
  <si>
    <t>Pedro Vargas</t>
  </si>
  <si>
    <t>Horas Extras</t>
  </si>
  <si>
    <t>Ejemplo 3</t>
  </si>
  <si>
    <t>Gratificacion = Sueldo * 0,25</t>
  </si>
  <si>
    <t>Valor Horas = Ocupar Funcion BuscarV</t>
  </si>
  <si>
    <t>Pago HE = Hrs. Extras * Valor Horas</t>
  </si>
  <si>
    <t>Liquido = Sueldo + Gratificacion + Pago  HE + Mov.-Colac. - Anticipos</t>
  </si>
  <si>
    <t>LIQUIDACIÓN</t>
  </si>
  <si>
    <t>MES :</t>
  </si>
  <si>
    <t>ENERO</t>
  </si>
  <si>
    <t>DÍAS TRAB :</t>
  </si>
  <si>
    <t>CÓDIGO</t>
  </si>
  <si>
    <t>EMPLEADO:</t>
  </si>
  <si>
    <t>HORAS EXTRA :</t>
  </si>
  <si>
    <t>VALOR HORA :</t>
  </si>
  <si>
    <t>HABERES</t>
  </si>
  <si>
    <t>DESCUENTOS</t>
  </si>
  <si>
    <t>SUELDO</t>
  </si>
  <si>
    <t>ANTICIPOS</t>
  </si>
  <si>
    <t>BONO</t>
  </si>
  <si>
    <t>DESCUENTOS LEGALES</t>
  </si>
  <si>
    <t>GRATIFICACIÓN</t>
  </si>
  <si>
    <t>MOV/COL</t>
  </si>
  <si>
    <t>HORAS</t>
  </si>
  <si>
    <t>TOTAL HABERES</t>
  </si>
  <si>
    <t>TOTAL DESCUENTOS</t>
  </si>
  <si>
    <t>A PAGAR</t>
  </si>
  <si>
    <t>Firma Empleado</t>
  </si>
  <si>
    <t>PLANILLA DE SUELDOS</t>
  </si>
  <si>
    <t>COD.</t>
  </si>
  <si>
    <t>EMPLEADO</t>
  </si>
  <si>
    <t>DEPARTAMENTO</t>
  </si>
  <si>
    <t>GRATIF.</t>
  </si>
  <si>
    <t>HRS. EXTRAS</t>
  </si>
  <si>
    <t>VAL. BONO</t>
  </si>
  <si>
    <t>COD. AFP</t>
  </si>
  <si>
    <t>NOM. AFP</t>
  </si>
  <si>
    <t>VAL. AFP</t>
  </si>
  <si>
    <t>VAL ISAPRE</t>
  </si>
  <si>
    <t>DCTOS. LEGALES</t>
  </si>
  <si>
    <t>LIQUIDO</t>
  </si>
  <si>
    <t>JUAN PEREZ</t>
  </si>
  <si>
    <t>INFORMÁTICA</t>
  </si>
  <si>
    <t>LUIS CASTRO</t>
  </si>
  <si>
    <t>CONTABILIDAD</t>
  </si>
  <si>
    <t>PEDRO VARGAS</t>
  </si>
  <si>
    <t>FINANZAS</t>
  </si>
  <si>
    <t>MARCELO PEREZ</t>
  </si>
  <si>
    <t>MANUEL ZUÑIGA</t>
  </si>
  <si>
    <t>LUIS MUJICA</t>
  </si>
  <si>
    <t>ALEJANDRO</t>
  </si>
  <si>
    <t>OCTAVIO SOTO</t>
  </si>
  <si>
    <t>LUIS JORQUERA</t>
  </si>
  <si>
    <t>TOTALES</t>
  </si>
  <si>
    <t>TABLA DE DATOS</t>
  </si>
  <si>
    <t>VALOR</t>
  </si>
  <si>
    <t>CODIGO</t>
  </si>
  <si>
    <t>AFP</t>
  </si>
  <si>
    <t>%</t>
  </si>
  <si>
    <t>PROVIDA</t>
  </si>
  <si>
    <t>SUMMA</t>
  </si>
  <si>
    <t>HABITAT</t>
  </si>
  <si>
    <t>VALOR BONO</t>
  </si>
  <si>
    <t>CUPRUM</t>
  </si>
  <si>
    <t>P.VITAL</t>
  </si>
  <si>
    <t>STA.MARIA</t>
  </si>
  <si>
    <t>MAGISTER</t>
  </si>
  <si>
    <t>Valor Hrs</t>
  </si>
  <si>
    <t>Total H E</t>
  </si>
  <si>
    <t>Total Bono</t>
  </si>
  <si>
    <t>Ciudad Origen</t>
  </si>
  <si>
    <t>Ciudad Destino</t>
  </si>
  <si>
    <t>Kilometros</t>
  </si>
  <si>
    <t>Ciudades</t>
  </si>
  <si>
    <t>Stgo</t>
  </si>
  <si>
    <t>Valpo</t>
  </si>
  <si>
    <t>Rgua</t>
  </si>
  <si>
    <t>Curico</t>
  </si>
  <si>
    <t>Ejercicios</t>
  </si>
  <si>
    <t>Realizar la tabla cruzada</t>
  </si>
  <si>
    <t>Origen</t>
  </si>
  <si>
    <t>Destino</t>
  </si>
  <si>
    <t>Sao Paulo</t>
  </si>
  <si>
    <t>Lima</t>
  </si>
  <si>
    <t>Buenos Aires</t>
  </si>
  <si>
    <t>Valor U$</t>
  </si>
  <si>
    <t>Código</t>
  </si>
  <si>
    <t>Vendedor</t>
  </si>
  <si>
    <t>A001</t>
  </si>
  <si>
    <t>Elias</t>
  </si>
  <si>
    <t>A002</t>
  </si>
  <si>
    <t>A003</t>
  </si>
  <si>
    <t>Tabla Personal</t>
  </si>
  <si>
    <t>Venta</t>
  </si>
  <si>
    <t>Comision</t>
  </si>
  <si>
    <t>Área</t>
  </si>
  <si>
    <t>Area</t>
  </si>
  <si>
    <t>Linea Blanca</t>
  </si>
  <si>
    <t>Electronica</t>
  </si>
  <si>
    <t>Muebles</t>
  </si>
  <si>
    <t>Tabla Comision Venta</t>
  </si>
  <si>
    <t>Tabla Comision Cantidad</t>
  </si>
  <si>
    <t>$ Com. Vta.</t>
  </si>
  <si>
    <t>% Com. Vta.</t>
  </si>
  <si>
    <t>% Com. Can.</t>
  </si>
  <si>
    <t>$ Com. Can.</t>
  </si>
  <si>
    <t>$ Comisiones</t>
  </si>
  <si>
    <t>Recuerde Asignar un Nombre a la Base de Datos y a la Celda Objetivo</t>
  </si>
  <si>
    <t>Nota : Es 0 al final cuando se busca en una columna y 1 cuando se busca entre columnas.)</t>
  </si>
  <si>
    <t>juan</t>
  </si>
  <si>
    <t>Eje04</t>
  </si>
  <si>
    <t>v</t>
  </si>
  <si>
    <t>no hacer h e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</si>
</sst>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_ &quot;$&quot;\ * #,##0_ ;_ &quot;$&quot;\ * \-#,##0_ ;_ &quot;$&quot;\ * &quot;-&quot;_ ;_ @_ "/>
    <numFmt numFmtId="165" formatCode="&quot;$&quot;\ #,##0;\-&quot;$&quot;\ #,##0"/>
    <numFmt numFmtId="166" formatCode="_-&quot;$&quot;\ * #,##0.00_-;\-&quot;$&quot;\ * #,##0.00_-;_-&quot;$&quot;\ * &quot;-&quot;??_-;_-@_-"/>
    <numFmt numFmtId="167" formatCode="_-* #,##0.00_-;\-* #,##0.00_-;_-* &quot;-&quot;??_-;_-@_-"/>
    <numFmt numFmtId="168" formatCode="&quot;$&quot;#,##0;[Red]\-&quot;$&quot;#,##0"/>
    <numFmt numFmtId="169" formatCode="_-&quot;$&quot;* #,##0.00_-;\-&quot;$&quot;* #,##0.00_-;_-&quot;$&quot;* &quot;-&quot;??_-;_-@_-"/>
    <numFmt numFmtId="170" formatCode="_(&quot;$&quot;* #,##0.00_);_(&quot;$&quot;* \(#,##0.00\);_(&quot;$&quot;* &quot;-&quot;??_);_(@_)"/>
    <numFmt numFmtId="171" formatCode="_-&quot;$&quot;* #,##0_-;\-&quot;$&quot;* #,##0_-;_-&quot;$&quot;* &quot;-&quot;??_-;_-@_-"/>
    <numFmt numFmtId="172" formatCode="_-* #,##0_-;\-* #,##0_-;_-* &quot;-&quot;??_-;_-@_-"/>
    <numFmt numFmtId="173" formatCode="#.##0\ &quot;Kg&quot;"/>
    <numFmt numFmtId="174" formatCode="_-* #,##0.00\ _p_t_a_-;\-* #,##0.00\ _p_t_a_-;_-* &quot;-&quot;??\ _p_t_a_-;_-@_-"/>
    <numFmt numFmtId="175" formatCode="_-* #,##0\ _p_t_a_-;\-* #,##0\ _p_t_a_-;_-* &quot;-&quot;??\ _p_t_a_-;_-@_-"/>
    <numFmt numFmtId="176" formatCode="&quot;$&quot;\ * #,##0"/>
    <numFmt numFmtId="177" formatCode="_-&quot;$&quot;\ * #,##0_-;\-&quot;$&quot;\ * #,##0_-;_-&quot;$&quot;\ * &quot;-&quot;??_-;_-@_-"/>
    <numFmt numFmtId="178" formatCode="0.0%"/>
    <numFmt numFmtId="179" formatCode="_-[$$-340A]\ * #,##0_-;\-[$$-340A]\ * #,##0_-;_-[$$-340A]\ * &quot;-&quot;_-;_-@_-"/>
    <numFmt numFmtId="180" formatCode="[$$-340A]\ #,##0"/>
  </numFmts>
  <fonts count="2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8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9"/>
      <color indexed="9"/>
      <name val="Arial"/>
      <family val="2"/>
    </font>
    <font>
      <sz val="8"/>
      <name val="Arial"/>
      <family val="2"/>
    </font>
    <font>
      <b/>
      <i/>
      <sz val="16"/>
      <name val="Lucida Console"/>
      <family val="3"/>
    </font>
    <font>
      <b/>
      <i/>
      <sz val="8"/>
      <name val="Arial"/>
      <family val="2"/>
    </font>
    <font>
      <b/>
      <sz val="11"/>
      <name val="Arial"/>
      <family val="2"/>
    </font>
    <font>
      <sz val="11"/>
      <name val="Times New Roman"/>
      <family val="1"/>
    </font>
    <font>
      <b/>
      <sz val="24"/>
      <name val="Arial"/>
      <family val="2"/>
    </font>
    <font>
      <sz val="11"/>
      <name val="Arial"/>
      <family val="2"/>
    </font>
    <font>
      <b/>
      <sz val="8"/>
      <color indexed="10"/>
      <name val="Arial"/>
      <family val="2"/>
    </font>
    <font>
      <b/>
      <sz val="16"/>
      <name val="Arial"/>
      <family val="2"/>
    </font>
    <font>
      <b/>
      <u/>
      <sz val="11"/>
      <name val="Arial"/>
      <family val="2"/>
    </font>
    <font>
      <sz val="10"/>
      <name val="Tahoma"/>
      <family val="2"/>
    </font>
    <font>
      <b/>
      <sz val="10"/>
      <color indexed="10"/>
      <name val="Arial"/>
      <family val="2"/>
    </font>
    <font>
      <b/>
      <sz val="10"/>
      <color indexed="12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6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3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23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2" borderId="0"/>
  </cellStyleXfs>
  <cellXfs count="297">
    <xf numFmtId="0" fontId="0" fillId="0" borderId="0" xfId="0"/>
    <xf numFmtId="0" fontId="0" fillId="0" borderId="0" xfId="0" applyProtection="1">
      <protection hidden="1"/>
    </xf>
    <xf numFmtId="0" fontId="2" fillId="0" borderId="0" xfId="0" applyFont="1" applyProtection="1">
      <protection hidden="1"/>
    </xf>
    <xf numFmtId="0" fontId="0" fillId="0" borderId="1" xfId="0" applyBorder="1" applyProtection="1">
      <protection hidden="1"/>
    </xf>
    <xf numFmtId="0" fontId="0" fillId="0" borderId="0" xfId="0" quotePrefix="1" applyProtection="1"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4" xfId="0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Protection="1"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Alignment="1" applyProtection="1">
      <alignment horizontal="center"/>
      <protection hidden="1"/>
    </xf>
    <xf numFmtId="9" fontId="1" fillId="0" borderId="6" xfId="11" applyBorder="1" applyAlignment="1" applyProtection="1">
      <alignment horizontal="center"/>
      <protection hidden="1"/>
    </xf>
    <xf numFmtId="0" fontId="0" fillId="0" borderId="7" xfId="0" applyBorder="1" applyProtection="1">
      <protection hidden="1"/>
    </xf>
    <xf numFmtId="0" fontId="0" fillId="0" borderId="1" xfId="0" applyBorder="1" applyAlignment="1" applyProtection="1">
      <alignment horizontal="center"/>
      <protection hidden="1"/>
    </xf>
    <xf numFmtId="9" fontId="1" fillId="0" borderId="1" xfId="11" applyBorder="1" applyAlignment="1" applyProtection="1">
      <alignment horizontal="center"/>
      <protection hidden="1"/>
    </xf>
    <xf numFmtId="0" fontId="0" fillId="0" borderId="8" xfId="0" applyBorder="1" applyProtection="1">
      <protection hidden="1"/>
    </xf>
    <xf numFmtId="0" fontId="0" fillId="0" borderId="9" xfId="0" applyBorder="1" applyAlignment="1" applyProtection="1">
      <alignment horizontal="center"/>
      <protection hidden="1"/>
    </xf>
    <xf numFmtId="9" fontId="1" fillId="0" borderId="9" xfId="11" applyBorder="1" applyAlignment="1" applyProtection="1">
      <alignment horizontal="center"/>
      <protection hidden="1"/>
    </xf>
    <xf numFmtId="0" fontId="2" fillId="2" borderId="10" xfId="0" applyFont="1" applyFill="1" applyBorder="1" applyAlignment="1" applyProtection="1">
      <alignment horizontal="center" vertical="center" wrapText="1"/>
      <protection hidden="1"/>
    </xf>
    <xf numFmtId="0" fontId="5" fillId="0" borderId="0" xfId="0" applyFont="1"/>
    <xf numFmtId="0" fontId="6" fillId="4" borderId="2" xfId="0" applyFont="1" applyFill="1" applyBorder="1" applyAlignment="1" applyProtection="1">
      <alignment horizontal="center"/>
      <protection hidden="1"/>
    </xf>
    <xf numFmtId="0" fontId="7" fillId="0" borderId="4" xfId="0" applyFont="1" applyBorder="1" applyAlignment="1" applyProtection="1">
      <alignment horizontal="center"/>
      <protection hidden="1"/>
    </xf>
    <xf numFmtId="0" fontId="2" fillId="0" borderId="0" xfId="0" applyFont="1"/>
    <xf numFmtId="0" fontId="2" fillId="5" borderId="0" xfId="0" applyFont="1" applyFill="1" applyProtection="1">
      <protection hidden="1"/>
    </xf>
    <xf numFmtId="0" fontId="0" fillId="5" borderId="0" xfId="0" applyFill="1" applyProtection="1">
      <protection hidden="1"/>
    </xf>
    <xf numFmtId="0" fontId="4" fillId="6" borderId="0" xfId="0" applyFont="1" applyFill="1" applyAlignment="1">
      <alignment horizontal="center" wrapText="1"/>
    </xf>
    <xf numFmtId="0" fontId="8" fillId="5" borderId="0" xfId="0" applyFont="1" applyFill="1" applyProtection="1">
      <protection hidden="1"/>
    </xf>
    <xf numFmtId="0" fontId="0" fillId="0" borderId="1" xfId="0" applyBorder="1"/>
    <xf numFmtId="14" fontId="0" fillId="0" borderId="1" xfId="0" applyNumberFormat="1" applyBorder="1"/>
    <xf numFmtId="0" fontId="10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1" fillId="0" borderId="0" xfId="0" quotePrefix="1" applyFont="1" applyProtection="1">
      <protection hidden="1"/>
    </xf>
    <xf numFmtId="172" fontId="3" fillId="6" borderId="1" xfId="4" applyNumberFormat="1" applyFont="1" applyFill="1" applyBorder="1" applyAlignment="1" applyProtection="1">
      <alignment horizontal="center"/>
      <protection locked="0" hidden="1"/>
    </xf>
    <xf numFmtId="3" fontId="0" fillId="6" borderId="1" xfId="0" applyNumberFormat="1" applyFill="1" applyBorder="1" applyAlignment="1" applyProtection="1">
      <alignment horizontal="center"/>
      <protection locked="0" hidden="1"/>
    </xf>
    <xf numFmtId="0" fontId="5" fillId="0" borderId="0" xfId="0" applyFont="1" applyProtection="1">
      <protection hidden="1"/>
    </xf>
    <xf numFmtId="3" fontId="0" fillId="0" borderId="6" xfId="0" applyNumberFormat="1" applyBorder="1" applyAlignment="1" applyProtection="1">
      <alignment horizontal="left"/>
      <protection hidden="1"/>
    </xf>
    <xf numFmtId="3" fontId="0" fillId="0" borderId="9" xfId="0" applyNumberFormat="1" applyBorder="1" applyAlignment="1" applyProtection="1">
      <alignment horizontal="left"/>
      <protection hidden="1"/>
    </xf>
    <xf numFmtId="3" fontId="0" fillId="0" borderId="1" xfId="0" applyNumberFormat="1" applyBorder="1" applyAlignment="1" applyProtection="1">
      <alignment horizontal="left"/>
      <protection hidden="1"/>
    </xf>
    <xf numFmtId="0" fontId="0" fillId="0" borderId="12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0" borderId="14" xfId="0" applyBorder="1" applyAlignment="1" applyProtection="1">
      <alignment horizontal="center"/>
      <protection hidden="1"/>
    </xf>
    <xf numFmtId="171" fontId="0" fillId="0" borderId="6" xfId="6" applyNumberFormat="1" applyFont="1" applyBorder="1" applyAlignment="1" applyProtection="1">
      <alignment horizontal="center"/>
      <protection hidden="1"/>
    </xf>
    <xf numFmtId="171" fontId="0" fillId="0" borderId="1" xfId="6" applyNumberFormat="1" applyFont="1" applyBorder="1" applyAlignment="1" applyProtection="1">
      <alignment horizontal="center"/>
      <protection hidden="1"/>
    </xf>
    <xf numFmtId="171" fontId="0" fillId="0" borderId="9" xfId="6" applyNumberFormat="1" applyFont="1" applyBorder="1" applyAlignment="1" applyProtection="1">
      <alignment horizontal="center"/>
      <protection hidden="1"/>
    </xf>
    <xf numFmtId="0" fontId="12" fillId="7" borderId="15" xfId="0" applyFont="1" applyFill="1" applyBorder="1" applyAlignment="1" applyProtection="1">
      <alignment horizontal="center" vertical="center" wrapText="1"/>
      <protection hidden="1"/>
    </xf>
    <xf numFmtId="0" fontId="12" fillId="7" borderId="16" xfId="0" applyFont="1" applyFill="1" applyBorder="1" applyAlignment="1" applyProtection="1">
      <alignment horizontal="center" vertical="center" wrapText="1"/>
      <protection hidden="1"/>
    </xf>
    <xf numFmtId="0" fontId="12" fillId="7" borderId="17" xfId="0" applyFont="1" applyFill="1" applyBorder="1" applyAlignment="1" applyProtection="1">
      <alignment horizontal="center" vertical="center" wrapText="1"/>
      <protection hidden="1"/>
    </xf>
    <xf numFmtId="0" fontId="12" fillId="7" borderId="4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>
      <alignment horizontal="left"/>
    </xf>
    <xf numFmtId="0" fontId="6" fillId="4" borderId="15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 vertical="center"/>
      <protection hidden="1"/>
    </xf>
    <xf numFmtId="0" fontId="0" fillId="0" borderId="19" xfId="0" applyBorder="1" applyProtection="1">
      <protection hidden="1"/>
    </xf>
    <xf numFmtId="0" fontId="2" fillId="3" borderId="7" xfId="0" applyFont="1" applyFill="1" applyBorder="1" applyAlignment="1" applyProtection="1">
      <alignment horizontal="center" vertical="center" wrapText="1"/>
      <protection hidden="1"/>
    </xf>
    <xf numFmtId="173" fontId="1" fillId="0" borderId="12" xfId="4" applyNumberFormat="1" applyBorder="1" applyProtection="1">
      <protection hidden="1"/>
    </xf>
    <xf numFmtId="0" fontId="2" fillId="3" borderId="8" xfId="0" applyFont="1" applyFill="1" applyBorder="1" applyAlignment="1" applyProtection="1">
      <alignment horizontal="center" vertical="center"/>
      <protection hidden="1"/>
    </xf>
    <xf numFmtId="0" fontId="0" fillId="0" borderId="13" xfId="0" applyBorder="1" applyProtection="1">
      <protection hidden="1"/>
    </xf>
    <xf numFmtId="0" fontId="2" fillId="3" borderId="20" xfId="0" applyFont="1" applyFill="1" applyBorder="1" applyAlignment="1" applyProtection="1">
      <alignment horizontal="center" vertical="center"/>
      <protection hidden="1"/>
    </xf>
    <xf numFmtId="0" fontId="0" fillId="6" borderId="7" xfId="0" applyFill="1" applyBorder="1" applyProtection="1">
      <protection hidden="1"/>
    </xf>
    <xf numFmtId="3" fontId="0" fillId="6" borderId="12" xfId="0" applyNumberFormat="1" applyFill="1" applyBorder="1" applyAlignment="1" applyProtection="1">
      <alignment horizontal="center"/>
      <protection hidden="1"/>
    </xf>
    <xf numFmtId="0" fontId="0" fillId="6" borderId="8" xfId="0" applyFill="1" applyBorder="1" applyProtection="1">
      <protection hidden="1"/>
    </xf>
    <xf numFmtId="3" fontId="0" fillId="6" borderId="9" xfId="0" applyNumberFormat="1" applyFill="1" applyBorder="1" applyAlignment="1" applyProtection="1">
      <alignment horizontal="center"/>
      <protection locked="0" hidden="1"/>
    </xf>
    <xf numFmtId="172" fontId="3" fillId="6" borderId="9" xfId="4" applyNumberFormat="1" applyFont="1" applyFill="1" applyBorder="1" applyAlignment="1" applyProtection="1">
      <alignment horizontal="center"/>
      <protection locked="0" hidden="1"/>
    </xf>
    <xf numFmtId="3" fontId="0" fillId="6" borderId="13" xfId="0" applyNumberFormat="1" applyFill="1" applyBorder="1" applyAlignment="1" applyProtection="1">
      <alignment horizontal="center"/>
      <protection hidden="1"/>
    </xf>
    <xf numFmtId="0" fontId="6" fillId="8" borderId="10" xfId="0" applyFont="1" applyFill="1" applyBorder="1" applyAlignment="1" applyProtection="1">
      <alignment horizontal="left" vertical="center" wrapText="1"/>
      <protection hidden="1"/>
    </xf>
    <xf numFmtId="0" fontId="0" fillId="0" borderId="19" xfId="0" applyBorder="1"/>
    <xf numFmtId="0" fontId="0" fillId="0" borderId="12" xfId="0" applyBorder="1"/>
    <xf numFmtId="0" fontId="0" fillId="0" borderId="12" xfId="0" applyBorder="1" applyProtection="1">
      <protection hidden="1"/>
    </xf>
    <xf numFmtId="0" fontId="0" fillId="0" borderId="13" xfId="0" applyBorder="1"/>
    <xf numFmtId="0" fontId="14" fillId="0" borderId="0" xfId="0" applyFont="1"/>
    <xf numFmtId="0" fontId="15" fillId="0" borderId="0" xfId="0" applyFont="1"/>
    <xf numFmtId="0" fontId="13" fillId="0" borderId="0" xfId="0" applyFont="1"/>
    <xf numFmtId="165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right"/>
    </xf>
    <xf numFmtId="0" fontId="11" fillId="0" borderId="0" xfId="0" applyFont="1"/>
    <xf numFmtId="0" fontId="8" fillId="0" borderId="4" xfId="0" applyFont="1" applyBorder="1" applyAlignment="1">
      <alignment horizontal="center" vertical="center" wrapText="1"/>
    </xf>
    <xf numFmtId="165" fontId="8" fillId="0" borderId="4" xfId="0" applyNumberFormat="1" applyFont="1" applyBorder="1" applyAlignment="1">
      <alignment horizontal="center" vertical="center" wrapText="1"/>
    </xf>
    <xf numFmtId="0" fontId="11" fillId="0" borderId="21" xfId="0" applyFont="1" applyBorder="1" applyAlignment="1">
      <alignment horizontal="left"/>
    </xf>
    <xf numFmtId="165" fontId="16" fillId="0" borderId="22" xfId="4" applyNumberFormat="1" applyFont="1" applyBorder="1" applyAlignment="1">
      <alignment horizontal="right"/>
    </xf>
    <xf numFmtId="0" fontId="11" fillId="0" borderId="21" xfId="0" applyFont="1" applyBorder="1"/>
    <xf numFmtId="0" fontId="11" fillId="0" borderId="23" xfId="0" applyFont="1" applyBorder="1"/>
    <xf numFmtId="165" fontId="16" fillId="0" borderId="24" xfId="4" applyNumberFormat="1" applyFont="1" applyBorder="1" applyAlignment="1">
      <alignment horizontal="right"/>
    </xf>
    <xf numFmtId="0" fontId="9" fillId="0" borderId="0" xfId="0" applyFont="1" applyAlignment="1">
      <alignment horizontal="left"/>
    </xf>
    <xf numFmtId="165" fontId="8" fillId="0" borderId="0" xfId="4" applyNumberFormat="1" applyFont="1" applyBorder="1" applyAlignment="1">
      <alignment horizontal="right"/>
    </xf>
    <xf numFmtId="0" fontId="11" fillId="0" borderId="23" xfId="0" applyFont="1" applyBorder="1" applyAlignment="1">
      <alignment horizontal="left"/>
    </xf>
    <xf numFmtId="0" fontId="8" fillId="9" borderId="4" xfId="0" applyFont="1" applyFill="1" applyBorder="1" applyAlignment="1">
      <alignment horizontal="center" vertical="center" wrapText="1"/>
    </xf>
    <xf numFmtId="165" fontId="8" fillId="9" borderId="4" xfId="0" applyNumberFormat="1" applyFont="1" applyFill="1" applyBorder="1" applyAlignment="1">
      <alignment horizontal="center" vertical="center" wrapText="1"/>
    </xf>
    <xf numFmtId="0" fontId="8" fillId="10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/>
    </xf>
    <xf numFmtId="172" fontId="11" fillId="0" borderId="21" xfId="4" applyNumberFormat="1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172" fontId="11" fillId="0" borderId="25" xfId="4" applyNumberFormat="1" applyFont="1" applyBorder="1" applyAlignment="1">
      <alignment horizontal="left"/>
    </xf>
    <xf numFmtId="165" fontId="16" fillId="0" borderId="26" xfId="4" applyNumberFormat="1" applyFont="1" applyBorder="1" applyAlignment="1">
      <alignment horizontal="right"/>
    </xf>
    <xf numFmtId="172" fontId="11" fillId="0" borderId="23" xfId="4" applyNumberFormat="1" applyFont="1" applyBorder="1" applyAlignment="1">
      <alignment horizontal="left"/>
    </xf>
    <xf numFmtId="165" fontId="8" fillId="11" borderId="4" xfId="0" applyNumberFormat="1" applyFont="1" applyFill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left"/>
    </xf>
    <xf numFmtId="0" fontId="6" fillId="7" borderId="1" xfId="0" applyFont="1" applyFill="1" applyBorder="1" applyAlignment="1">
      <alignment horizontal="center"/>
    </xf>
    <xf numFmtId="171" fontId="0" fillId="0" borderId="1" xfId="6" applyNumberFormat="1" applyFont="1" applyBorder="1"/>
    <xf numFmtId="0" fontId="6" fillId="7" borderId="1" xfId="0" applyFont="1" applyFill="1" applyBorder="1"/>
    <xf numFmtId="0" fontId="0" fillId="2" borderId="1" xfId="0" applyFill="1" applyBorder="1"/>
    <xf numFmtId="0" fontId="0" fillId="0" borderId="9" xfId="0" applyBorder="1"/>
    <xf numFmtId="0" fontId="6" fillId="4" borderId="3" xfId="0" applyFont="1" applyFill="1" applyBorder="1" applyAlignment="1" applyProtection="1">
      <alignment horizontal="center"/>
      <protection hidden="1"/>
    </xf>
    <xf numFmtId="0" fontId="0" fillId="0" borderId="18" xfId="0" applyBorder="1" applyProtection="1">
      <protection hidden="1"/>
    </xf>
    <xf numFmtId="0" fontId="0" fillId="0" borderId="27" xfId="0" applyBorder="1"/>
    <xf numFmtId="0" fontId="0" fillId="0" borderId="27" xfId="0" applyBorder="1" applyProtection="1">
      <protection hidden="1"/>
    </xf>
    <xf numFmtId="14" fontId="0" fillId="0" borderId="27" xfId="0" applyNumberFormat="1" applyBorder="1"/>
    <xf numFmtId="0" fontId="0" fillId="0" borderId="7" xfId="0" applyBorder="1"/>
    <xf numFmtId="0" fontId="0" fillId="0" borderId="8" xfId="0" applyBorder="1"/>
    <xf numFmtId="14" fontId="0" fillId="0" borderId="9" xfId="0" applyNumberFormat="1" applyBorder="1"/>
    <xf numFmtId="0" fontId="0" fillId="0" borderId="9" xfId="0" applyBorder="1" applyProtection="1">
      <protection hidden="1"/>
    </xf>
    <xf numFmtId="0" fontId="14" fillId="0" borderId="0" xfId="0" applyFont="1" applyAlignment="1">
      <alignment horizontal="right"/>
    </xf>
    <xf numFmtId="0" fontId="17" fillId="6" borderId="0" xfId="10" applyFont="1" applyFill="1"/>
    <xf numFmtId="0" fontId="17" fillId="6" borderId="29" xfId="10" applyFont="1" applyFill="1" applyBorder="1"/>
    <xf numFmtId="0" fontId="17" fillId="6" borderId="28" xfId="10" applyFont="1" applyFill="1" applyBorder="1"/>
    <xf numFmtId="164" fontId="17" fillId="6" borderId="0" xfId="7" applyFont="1" applyFill="1" applyBorder="1"/>
    <xf numFmtId="164" fontId="17" fillId="6" borderId="0" xfId="10" applyNumberFormat="1" applyFont="1" applyFill="1"/>
    <xf numFmtId="0" fontId="17" fillId="6" borderId="0" xfId="10" applyFont="1" applyFill="1" applyAlignment="1">
      <alignment horizontal="center"/>
    </xf>
    <xf numFmtId="0" fontId="17" fillId="6" borderId="33" xfId="10" applyFont="1" applyFill="1" applyBorder="1"/>
    <xf numFmtId="164" fontId="17" fillId="2" borderId="0" xfId="10" applyNumberFormat="1" applyFont="1" applyFill="1"/>
    <xf numFmtId="0" fontId="16" fillId="6" borderId="0" xfId="10" applyFont="1" applyFill="1"/>
    <xf numFmtId="0" fontId="19" fillId="6" borderId="0" xfId="10" applyFont="1" applyFill="1"/>
    <xf numFmtId="0" fontId="19" fillId="6" borderId="1" xfId="10" applyFont="1" applyFill="1" applyBorder="1"/>
    <xf numFmtId="0" fontId="19" fillId="6" borderId="38" xfId="10" applyFont="1" applyFill="1" applyBorder="1"/>
    <xf numFmtId="0" fontId="19" fillId="6" borderId="39" xfId="10" applyFont="1" applyFill="1" applyBorder="1"/>
    <xf numFmtId="0" fontId="17" fillId="12" borderId="31" xfId="10" applyFont="1" applyFill="1" applyBorder="1"/>
    <xf numFmtId="164" fontId="17" fillId="12" borderId="31" xfId="10" applyNumberFormat="1" applyFont="1" applyFill="1" applyBorder="1"/>
    <xf numFmtId="0" fontId="17" fillId="12" borderId="0" xfId="10" applyFont="1" applyFill="1"/>
    <xf numFmtId="164" fontId="17" fillId="12" borderId="0" xfId="10" applyNumberFormat="1" applyFont="1" applyFill="1"/>
    <xf numFmtId="0" fontId="17" fillId="12" borderId="35" xfId="10" applyFont="1" applyFill="1" applyBorder="1"/>
    <xf numFmtId="164" fontId="17" fillId="12" borderId="35" xfId="10" applyNumberFormat="1" applyFont="1" applyFill="1" applyBorder="1"/>
    <xf numFmtId="0" fontId="20" fillId="0" borderId="0" xfId="0" applyFont="1" applyAlignment="1" applyProtection="1">
      <alignment horizontal="left"/>
      <protection hidden="1"/>
    </xf>
    <xf numFmtId="0" fontId="3" fillId="0" borderId="0" xfId="10" applyFont="1"/>
    <xf numFmtId="9" fontId="3" fillId="0" borderId="0" xfId="10" applyNumberFormat="1" applyFont="1"/>
    <xf numFmtId="0" fontId="2" fillId="13" borderId="1" xfId="10" applyFont="1" applyFill="1" applyBorder="1" applyAlignment="1">
      <alignment horizontal="center"/>
    </xf>
    <xf numFmtId="0" fontId="2" fillId="13" borderId="41" xfId="10" applyFont="1" applyFill="1" applyBorder="1" applyAlignment="1">
      <alignment horizontal="center"/>
    </xf>
    <xf numFmtId="0" fontId="3" fillId="0" borderId="42" xfId="10" applyFont="1" applyBorder="1"/>
    <xf numFmtId="0" fontId="3" fillId="0" borderId="43" xfId="10" applyFont="1" applyBorder="1"/>
    <xf numFmtId="164" fontId="3" fillId="0" borderId="1" xfId="7" applyFont="1" applyBorder="1"/>
    <xf numFmtId="164" fontId="3" fillId="2" borderId="1" xfId="7" applyFont="1" applyFill="1" applyBorder="1"/>
    <xf numFmtId="0" fontId="3" fillId="0" borderId="1" xfId="10" applyFont="1" applyBorder="1" applyAlignment="1">
      <alignment horizontal="center"/>
    </xf>
    <xf numFmtId="0" fontId="3" fillId="0" borderId="6" xfId="10" applyFont="1" applyBorder="1"/>
    <xf numFmtId="0" fontId="3" fillId="0" borderId="44" xfId="10" applyFont="1" applyBorder="1"/>
    <xf numFmtId="0" fontId="3" fillId="0" borderId="0" xfId="11" applyNumberFormat="1" applyFont="1"/>
    <xf numFmtId="0" fontId="3" fillId="0" borderId="45" xfId="10" applyFont="1" applyBorder="1" applyAlignment="1">
      <alignment horizontal="center"/>
    </xf>
    <xf numFmtId="0" fontId="3" fillId="0" borderId="46" xfId="10" applyFont="1" applyBorder="1" applyAlignment="1">
      <alignment horizontal="center"/>
    </xf>
    <xf numFmtId="164" fontId="3" fillId="0" borderId="47" xfId="7" applyFont="1" applyBorder="1"/>
    <xf numFmtId="0" fontId="3" fillId="0" borderId="43" xfId="10" applyFont="1" applyBorder="1" applyAlignment="1">
      <alignment horizontal="center"/>
    </xf>
    <xf numFmtId="0" fontId="3" fillId="0" borderId="0" xfId="10" applyFont="1" applyAlignment="1">
      <alignment horizontal="center"/>
    </xf>
    <xf numFmtId="164" fontId="3" fillId="0" borderId="42" xfId="7" applyFont="1" applyBorder="1"/>
    <xf numFmtId="164" fontId="3" fillId="0" borderId="42" xfId="10" applyNumberFormat="1" applyFont="1" applyBorder="1"/>
    <xf numFmtId="0" fontId="3" fillId="0" borderId="44" xfId="10" applyFont="1" applyBorder="1" applyAlignment="1">
      <alignment horizontal="center"/>
    </xf>
    <xf numFmtId="0" fontId="3" fillId="0" borderId="48" xfId="10" applyFont="1" applyBorder="1" applyAlignment="1">
      <alignment horizontal="center"/>
    </xf>
    <xf numFmtId="164" fontId="3" fillId="0" borderId="6" xfId="10" applyNumberFormat="1" applyFont="1" applyBorder="1"/>
    <xf numFmtId="0" fontId="19" fillId="6" borderId="0" xfId="0" applyFont="1" applyFill="1"/>
    <xf numFmtId="0" fontId="19" fillId="6" borderId="30" xfId="0" applyFont="1" applyFill="1" applyBorder="1"/>
    <xf numFmtId="0" fontId="19" fillId="6" borderId="31" xfId="0" applyFont="1" applyFill="1" applyBorder="1"/>
    <xf numFmtId="0" fontId="19" fillId="6" borderId="40" xfId="0" applyFont="1" applyFill="1" applyBorder="1"/>
    <xf numFmtId="0" fontId="19" fillId="6" borderId="32" xfId="0" applyFont="1" applyFill="1" applyBorder="1"/>
    <xf numFmtId="0" fontId="19" fillId="6" borderId="36" xfId="0" applyFont="1" applyFill="1" applyBorder="1"/>
    <xf numFmtId="0" fontId="19" fillId="6" borderId="34" xfId="0" applyFont="1" applyFill="1" applyBorder="1"/>
    <xf numFmtId="0" fontId="16" fillId="6" borderId="35" xfId="0" applyFont="1" applyFill="1" applyBorder="1"/>
    <xf numFmtId="0" fontId="19" fillId="6" borderId="35" xfId="0" applyFont="1" applyFill="1" applyBorder="1"/>
    <xf numFmtId="0" fontId="16" fillId="6" borderId="35" xfId="0" applyFont="1" applyFill="1" applyBorder="1" applyAlignment="1">
      <alignment horizontal="center"/>
    </xf>
    <xf numFmtId="176" fontId="19" fillId="6" borderId="37" xfId="5" applyNumberFormat="1" applyFont="1" applyFill="1" applyBorder="1"/>
    <xf numFmtId="0" fontId="16" fillId="6" borderId="10" xfId="0" applyFont="1" applyFill="1" applyBorder="1"/>
    <xf numFmtId="0" fontId="16" fillId="6" borderId="49" xfId="0" applyFont="1" applyFill="1" applyBorder="1"/>
    <xf numFmtId="0" fontId="16" fillId="6" borderId="11" xfId="0" applyFont="1" applyFill="1" applyBorder="1"/>
    <xf numFmtId="0" fontId="16" fillId="6" borderId="32" xfId="0" applyFont="1" applyFill="1" applyBorder="1"/>
    <xf numFmtId="0" fontId="16" fillId="6" borderId="0" xfId="0" applyFont="1" applyFill="1"/>
    <xf numFmtId="0" fontId="16" fillId="6" borderId="36" xfId="0" applyFont="1" applyFill="1" applyBorder="1"/>
    <xf numFmtId="176" fontId="16" fillId="6" borderId="0" xfId="5" applyNumberFormat="1" applyFont="1" applyFill="1" applyBorder="1"/>
    <xf numFmtId="175" fontId="16" fillId="6" borderId="0" xfId="5" applyNumberFormat="1" applyFont="1" applyFill="1" applyBorder="1"/>
    <xf numFmtId="175" fontId="19" fillId="6" borderId="0" xfId="5" applyNumberFormat="1" applyFont="1" applyFill="1" applyBorder="1"/>
    <xf numFmtId="0" fontId="19" fillId="6" borderId="37" xfId="0" applyFont="1" applyFill="1" applyBorder="1"/>
    <xf numFmtId="176" fontId="19" fillId="6" borderId="0" xfId="5" applyNumberFormat="1" applyFont="1" applyFill="1" applyBorder="1"/>
    <xf numFmtId="0" fontId="19" fillId="6" borderId="10" xfId="0" applyFont="1" applyFill="1" applyBorder="1"/>
    <xf numFmtId="0" fontId="19" fillId="6" borderId="11" xfId="0" applyFont="1" applyFill="1" applyBorder="1"/>
    <xf numFmtId="175" fontId="19" fillId="6" borderId="0" xfId="0" applyNumberFormat="1" applyFont="1" applyFill="1"/>
    <xf numFmtId="0" fontId="19" fillId="0" borderId="0" xfId="9" applyFont="1"/>
    <xf numFmtId="0" fontId="16" fillId="10" borderId="18" xfId="9" applyFont="1" applyFill="1" applyBorder="1" applyAlignment="1">
      <alignment horizontal="center" vertical="top" wrapText="1"/>
    </xf>
    <xf numFmtId="0" fontId="16" fillId="10" borderId="27" xfId="9" applyFont="1" applyFill="1" applyBorder="1" applyAlignment="1">
      <alignment horizontal="center" vertical="top" wrapText="1"/>
    </xf>
    <xf numFmtId="0" fontId="16" fillId="10" borderId="19" xfId="9" applyFont="1" applyFill="1" applyBorder="1" applyAlignment="1">
      <alignment horizontal="center" vertical="top" wrapText="1"/>
    </xf>
    <xf numFmtId="0" fontId="19" fillId="0" borderId="7" xfId="9" applyFont="1" applyBorder="1" applyAlignment="1">
      <alignment horizontal="center"/>
    </xf>
    <xf numFmtId="0" fontId="19" fillId="0" borderId="1" xfId="9" applyFont="1" applyBorder="1"/>
    <xf numFmtId="177" fontId="19" fillId="0" borderId="1" xfId="8" applyNumberFormat="1" applyFont="1" applyBorder="1"/>
    <xf numFmtId="177" fontId="19" fillId="0" borderId="1" xfId="9" applyNumberFormat="1" applyFont="1" applyBorder="1"/>
    <xf numFmtId="0" fontId="19" fillId="0" borderId="1" xfId="9" applyFont="1" applyBorder="1" applyAlignment="1">
      <alignment horizontal="center"/>
    </xf>
    <xf numFmtId="3" fontId="19" fillId="0" borderId="1" xfId="9" applyNumberFormat="1" applyFont="1" applyBorder="1" applyAlignment="1">
      <alignment horizontal="center"/>
    </xf>
    <xf numFmtId="177" fontId="19" fillId="0" borderId="12" xfId="9" applyNumberFormat="1" applyFont="1" applyBorder="1"/>
    <xf numFmtId="0" fontId="19" fillId="0" borderId="8" xfId="9" applyFont="1" applyBorder="1" applyAlignment="1">
      <alignment horizontal="center"/>
    </xf>
    <xf numFmtId="0" fontId="19" fillId="0" borderId="9" xfId="9" applyFont="1" applyBorder="1"/>
    <xf numFmtId="177" fontId="19" fillId="0" borderId="9" xfId="8" applyNumberFormat="1" applyFont="1" applyBorder="1"/>
    <xf numFmtId="177" fontId="19" fillId="0" borderId="9" xfId="9" applyNumberFormat="1" applyFont="1" applyBorder="1"/>
    <xf numFmtId="0" fontId="19" fillId="0" borderId="9" xfId="9" applyFont="1" applyBorder="1" applyAlignment="1">
      <alignment horizontal="center"/>
    </xf>
    <xf numFmtId="177" fontId="19" fillId="0" borderId="13" xfId="9" applyNumberFormat="1" applyFont="1" applyBorder="1"/>
    <xf numFmtId="177" fontId="19" fillId="0" borderId="0" xfId="8" applyNumberFormat="1" applyFont="1"/>
    <xf numFmtId="0" fontId="16" fillId="0" borderId="0" xfId="9" applyFont="1"/>
    <xf numFmtId="0" fontId="19" fillId="0" borderId="4" xfId="9" applyFont="1" applyBorder="1"/>
    <xf numFmtId="0" fontId="16" fillId="0" borderId="11" xfId="9" applyFont="1" applyBorder="1" applyAlignment="1">
      <alignment horizontal="center"/>
    </xf>
    <xf numFmtId="0" fontId="16" fillId="0" borderId="10" xfId="9" applyFont="1" applyBorder="1"/>
    <xf numFmtId="0" fontId="16" fillId="0" borderId="49" xfId="9" applyFont="1" applyBorder="1"/>
    <xf numFmtId="0" fontId="16" fillId="0" borderId="11" xfId="9" applyFont="1" applyBorder="1"/>
    <xf numFmtId="177" fontId="19" fillId="0" borderId="32" xfId="8" applyNumberFormat="1" applyFont="1" applyBorder="1" applyAlignment="1">
      <alignment horizontal="center"/>
    </xf>
    <xf numFmtId="177" fontId="19" fillId="0" borderId="0" xfId="8" applyNumberFormat="1" applyFont="1" applyBorder="1"/>
    <xf numFmtId="9" fontId="19" fillId="0" borderId="36" xfId="11" applyFont="1" applyBorder="1"/>
    <xf numFmtId="0" fontId="19" fillId="0" borderId="32" xfId="9" applyFont="1" applyBorder="1" applyAlignment="1">
      <alignment horizontal="center"/>
    </xf>
    <xf numFmtId="0" fontId="19" fillId="0" borderId="0" xfId="9" applyFont="1" applyAlignment="1">
      <alignment horizontal="center"/>
    </xf>
    <xf numFmtId="177" fontId="19" fillId="0" borderId="36" xfId="8" applyNumberFormat="1" applyFont="1" applyBorder="1"/>
    <xf numFmtId="10" fontId="19" fillId="0" borderId="36" xfId="11" applyNumberFormat="1" applyFont="1" applyBorder="1"/>
    <xf numFmtId="177" fontId="19" fillId="0" borderId="34" xfId="8" applyNumberFormat="1" applyFont="1" applyBorder="1" applyAlignment="1">
      <alignment horizontal="center"/>
    </xf>
    <xf numFmtId="177" fontId="19" fillId="0" borderId="35" xfId="8" applyNumberFormat="1" applyFont="1" applyBorder="1"/>
    <xf numFmtId="9" fontId="19" fillId="0" borderId="37" xfId="11" applyFont="1" applyBorder="1"/>
    <xf numFmtId="0" fontId="19" fillId="0" borderId="34" xfId="9" applyFont="1" applyBorder="1" applyAlignment="1">
      <alignment horizontal="center"/>
    </xf>
    <xf numFmtId="0" fontId="19" fillId="0" borderId="35" xfId="9" applyFont="1" applyBorder="1" applyAlignment="1">
      <alignment horizontal="center"/>
    </xf>
    <xf numFmtId="177" fontId="19" fillId="0" borderId="37" xfId="8" applyNumberFormat="1" applyFont="1" applyBorder="1"/>
    <xf numFmtId="0" fontId="19" fillId="0" borderId="35" xfId="9" applyFont="1" applyBorder="1"/>
    <xf numFmtId="10" fontId="19" fillId="0" borderId="37" xfId="11" applyNumberFormat="1" applyFont="1" applyBorder="1"/>
    <xf numFmtId="177" fontId="19" fillId="13" borderId="1" xfId="9" applyNumberFormat="1" applyFont="1" applyFill="1" applyBorder="1"/>
    <xf numFmtId="9" fontId="19" fillId="13" borderId="1" xfId="11" applyFont="1" applyFill="1" applyBorder="1" applyAlignment="1">
      <alignment horizontal="center"/>
    </xf>
    <xf numFmtId="177" fontId="19" fillId="13" borderId="1" xfId="8" applyNumberFormat="1" applyFont="1" applyFill="1" applyBorder="1"/>
    <xf numFmtId="0" fontId="19" fillId="13" borderId="4" xfId="9" applyFont="1" applyFill="1" applyBorder="1"/>
    <xf numFmtId="3" fontId="19" fillId="13" borderId="4" xfId="11" applyNumberFormat="1" applyFont="1" applyFill="1" applyBorder="1"/>
    <xf numFmtId="0" fontId="19" fillId="13" borderId="4" xfId="9" applyFont="1" applyFill="1" applyBorder="1" applyAlignment="1">
      <alignment horizontal="right"/>
    </xf>
    <xf numFmtId="3" fontId="19" fillId="13" borderId="4" xfId="9" applyNumberFormat="1" applyFont="1" applyFill="1" applyBorder="1"/>
    <xf numFmtId="177" fontId="19" fillId="13" borderId="9" xfId="9" applyNumberFormat="1" applyFont="1" applyFill="1" applyBorder="1"/>
    <xf numFmtId="9" fontId="19" fillId="13" borderId="9" xfId="11" applyFont="1" applyFill="1" applyBorder="1" applyAlignment="1">
      <alignment horizontal="center"/>
    </xf>
    <xf numFmtId="3" fontId="19" fillId="0" borderId="9" xfId="9" applyNumberFormat="1" applyFont="1" applyBorder="1" applyAlignment="1">
      <alignment horizontal="center"/>
    </xf>
    <xf numFmtId="177" fontId="19" fillId="13" borderId="9" xfId="8" applyNumberFormat="1" applyFont="1" applyFill="1" applyBorder="1"/>
    <xf numFmtId="0" fontId="3" fillId="0" borderId="0" xfId="0" quotePrefix="1" applyFont="1" applyProtection="1">
      <protection hidden="1"/>
    </xf>
    <xf numFmtId="0" fontId="0" fillId="10" borderId="1" xfId="0" applyFill="1" applyBorder="1"/>
    <xf numFmtId="0" fontId="0" fillId="14" borderId="1" xfId="0" applyFill="1" applyBorder="1"/>
    <xf numFmtId="0" fontId="0" fillId="0" borderId="1" xfId="0" applyBorder="1" applyAlignment="1">
      <alignment horizontal="center"/>
    </xf>
    <xf numFmtId="0" fontId="0" fillId="15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13" borderId="1" xfId="0" applyFill="1" applyBorder="1"/>
    <xf numFmtId="0" fontId="0" fillId="0" borderId="0" xfId="0" quotePrefix="1"/>
    <xf numFmtId="0" fontId="24" fillId="0" borderId="0" xfId="0" quotePrefix="1" applyFont="1"/>
    <xf numFmtId="0" fontId="25" fillId="0" borderId="0" xfId="0" quotePrefix="1" applyFont="1"/>
    <xf numFmtId="176" fontId="16" fillId="10" borderId="1" xfId="5" applyNumberFormat="1" applyFont="1" applyFill="1" applyBorder="1"/>
    <xf numFmtId="0" fontId="10" fillId="16" borderId="1" xfId="0" applyFont="1" applyFill="1" applyBorder="1" applyAlignment="1">
      <alignment horizontal="center"/>
    </xf>
    <xf numFmtId="0" fontId="19" fillId="10" borderId="1" xfId="0" applyFont="1" applyFill="1" applyBorder="1"/>
    <xf numFmtId="176" fontId="19" fillId="10" borderId="1" xfId="5" applyNumberFormat="1" applyFont="1" applyFill="1" applyBorder="1"/>
    <xf numFmtId="176" fontId="16" fillId="17" borderId="1" xfId="5" applyNumberFormat="1" applyFont="1" applyFill="1" applyBorder="1"/>
    <xf numFmtId="0" fontId="6" fillId="18" borderId="2" xfId="0" applyFont="1" applyFill="1" applyBorder="1" applyAlignment="1">
      <alignment horizontal="center"/>
    </xf>
    <xf numFmtId="0" fontId="6" fillId="18" borderId="3" xfId="0" applyFont="1" applyFill="1" applyBorder="1" applyAlignment="1">
      <alignment horizontal="center"/>
    </xf>
    <xf numFmtId="0" fontId="6" fillId="18" borderId="20" xfId="0" applyFont="1" applyFill="1" applyBorder="1" applyAlignment="1">
      <alignment horizontal="center"/>
    </xf>
    <xf numFmtId="171" fontId="0" fillId="0" borderId="12" xfId="6" applyNumberFormat="1" applyFont="1" applyBorder="1"/>
    <xf numFmtId="171" fontId="0" fillId="0" borderId="13" xfId="6" applyNumberFormat="1" applyFont="1" applyBorder="1"/>
    <xf numFmtId="9" fontId="0" fillId="0" borderId="12" xfId="11" applyFont="1" applyBorder="1"/>
    <xf numFmtId="9" fontId="0" fillId="0" borderId="13" xfId="11" applyFont="1" applyBorder="1"/>
    <xf numFmtId="0" fontId="6" fillId="19" borderId="2" xfId="0" applyFont="1" applyFill="1" applyBorder="1" applyAlignment="1">
      <alignment horizontal="center"/>
    </xf>
    <xf numFmtId="0" fontId="6" fillId="19" borderId="3" xfId="0" applyFont="1" applyFill="1" applyBorder="1" applyAlignment="1">
      <alignment horizontal="center"/>
    </xf>
    <xf numFmtId="0" fontId="6" fillId="18" borderId="53" xfId="0" applyFont="1" applyFill="1" applyBorder="1" applyAlignment="1">
      <alignment horizontal="center"/>
    </xf>
    <xf numFmtId="0" fontId="0" fillId="0" borderId="41" xfId="0" applyBorder="1"/>
    <xf numFmtId="0" fontId="0" fillId="0" borderId="54" xfId="0" applyBorder="1"/>
    <xf numFmtId="178" fontId="0" fillId="0" borderId="12" xfId="11" applyNumberFormat="1" applyFont="1" applyBorder="1"/>
    <xf numFmtId="178" fontId="0" fillId="0" borderId="13" xfId="11" applyNumberFormat="1" applyFont="1" applyBorder="1"/>
    <xf numFmtId="0" fontId="0" fillId="12" borderId="1" xfId="0" applyFill="1" applyBorder="1"/>
    <xf numFmtId="0" fontId="1" fillId="2" borderId="11" xfId="0" applyFont="1" applyFill="1" applyBorder="1" applyProtection="1">
      <protection hidden="1"/>
    </xf>
    <xf numFmtId="179" fontId="0" fillId="2" borderId="1" xfId="0" applyNumberFormat="1" applyFill="1" applyBorder="1"/>
    <xf numFmtId="0" fontId="0" fillId="0" borderId="20" xfId="0" applyBorder="1"/>
    <xf numFmtId="0" fontId="0" fillId="0" borderId="46" xfId="0" applyBorder="1"/>
    <xf numFmtId="0" fontId="17" fillId="6" borderId="29" xfId="10" applyFont="1" applyFill="1" applyBorder="1" applyAlignment="1">
      <alignment horizontal="center"/>
    </xf>
    <xf numFmtId="0" fontId="17" fillId="6" borderId="40" xfId="10" applyFont="1" applyFill="1" applyBorder="1" applyAlignment="1">
      <alignment horizontal="center"/>
    </xf>
    <xf numFmtId="0" fontId="17" fillId="6" borderId="1" xfId="10" applyFont="1" applyFill="1" applyBorder="1" applyAlignment="1">
      <alignment horizontal="center"/>
    </xf>
    <xf numFmtId="0" fontId="17" fillId="6" borderId="1" xfId="10" applyFont="1" applyFill="1" applyBorder="1"/>
    <xf numFmtId="164" fontId="17" fillId="6" borderId="1" xfId="7" applyFont="1" applyFill="1" applyBorder="1"/>
    <xf numFmtId="164" fontId="17" fillId="2" borderId="1" xfId="10" applyNumberFormat="1" applyFont="1" applyFill="1" applyBorder="1"/>
    <xf numFmtId="0" fontId="17" fillId="2" borderId="1" xfId="11" applyNumberFormat="1" applyFont="1" applyFill="1" applyBorder="1"/>
    <xf numFmtId="164" fontId="17" fillId="2" borderId="1" xfId="7" applyFont="1" applyFill="1" applyBorder="1"/>
    <xf numFmtId="164" fontId="17" fillId="6" borderId="1" xfId="10" applyNumberFormat="1" applyFont="1" applyFill="1" applyBorder="1"/>
    <xf numFmtId="0" fontId="19" fillId="6" borderId="0" xfId="10" applyFont="1" applyFill="1" applyAlignment="1">
      <alignment horizontal="left"/>
    </xf>
    <xf numFmtId="0" fontId="1" fillId="0" borderId="0" xfId="0" applyFont="1"/>
    <xf numFmtId="0" fontId="21" fillId="0" borderId="0" xfId="10" applyFont="1" applyAlignment="1">
      <alignment horizontal="center"/>
    </xf>
    <xf numFmtId="0" fontId="2" fillId="13" borderId="1" xfId="10" applyFont="1" applyFill="1" applyBorder="1" applyAlignment="1">
      <alignment horizontal="center"/>
    </xf>
    <xf numFmtId="0" fontId="18" fillId="6" borderId="0" xfId="10" applyFont="1" applyFill="1" applyAlignment="1">
      <alignment horizontal="center"/>
    </xf>
    <xf numFmtId="0" fontId="19" fillId="2" borderId="1" xfId="10" applyFont="1" applyFill="1" applyBorder="1" applyAlignment="1">
      <alignment horizontal="center"/>
    </xf>
    <xf numFmtId="180" fontId="19" fillId="2" borderId="1" xfId="10" applyNumberFormat="1" applyFont="1" applyFill="1" applyBorder="1" applyAlignment="1">
      <alignment horizontal="center"/>
    </xf>
    <xf numFmtId="0" fontId="22" fillId="6" borderId="0" xfId="0" applyFont="1" applyFill="1" applyAlignment="1">
      <alignment horizontal="center"/>
    </xf>
    <xf numFmtId="0" fontId="19" fillId="6" borderId="49" xfId="0" applyFont="1" applyFill="1" applyBorder="1" applyAlignment="1">
      <alignment horizontal="center"/>
    </xf>
    <xf numFmtId="0" fontId="16" fillId="10" borderId="41" xfId="0" applyFont="1" applyFill="1" applyBorder="1" applyAlignment="1">
      <alignment horizontal="center"/>
    </xf>
    <xf numFmtId="0" fontId="16" fillId="10" borderId="39" xfId="0" applyFont="1" applyFill="1" applyBorder="1" applyAlignment="1">
      <alignment horizontal="center"/>
    </xf>
    <xf numFmtId="0" fontId="0" fillId="0" borderId="50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50" xfId="0" applyFont="1" applyBorder="1" applyAlignment="1">
      <alignment horizontal="center"/>
    </xf>
    <xf numFmtId="14" fontId="0" fillId="0" borderId="5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5" xfId="0" applyFont="1" applyBorder="1" applyAlignment="1">
      <alignment horizontal="center"/>
    </xf>
    <xf numFmtId="0" fontId="14" fillId="0" borderId="0" xfId="0" applyFont="1" applyAlignment="1">
      <alignment horizontal="center"/>
    </xf>
    <xf numFmtId="167" fontId="6" fillId="18" borderId="51" xfId="4" applyFont="1" applyFill="1" applyBorder="1" applyAlignment="1">
      <alignment horizontal="center"/>
    </xf>
    <xf numFmtId="167" fontId="6" fillId="18" borderId="52" xfId="4" applyFont="1" applyFill="1" applyBorder="1" applyAlignment="1">
      <alignment horizontal="center"/>
    </xf>
    <xf numFmtId="0" fontId="16" fillId="0" borderId="10" xfId="9" applyFont="1" applyBorder="1" applyAlignment="1">
      <alignment horizontal="center"/>
    </xf>
    <xf numFmtId="0" fontId="16" fillId="0" borderId="49" xfId="9" applyFont="1" applyBorder="1" applyAlignment="1">
      <alignment horizontal="center"/>
    </xf>
    <xf numFmtId="0" fontId="10" fillId="0" borderId="0" xfId="9" applyFont="1" applyAlignment="1">
      <alignment horizontal="center"/>
    </xf>
  </cellXfs>
  <cellStyles count="13">
    <cellStyle name="Comma [0]" xfId="1" xr:uid="{00000000-0005-0000-0000-000000000000}"/>
    <cellStyle name="Currency [0]" xfId="2" xr:uid="{00000000-0005-0000-0000-000001000000}"/>
    <cellStyle name="Currency_TapePivot" xfId="3" xr:uid="{00000000-0005-0000-0000-000002000000}"/>
    <cellStyle name="Millares" xfId="4" builtinId="3"/>
    <cellStyle name="Millares_Ejer-Búsqueda-03Resuelto" xfId="5" xr:uid="{00000000-0005-0000-0000-000004000000}"/>
    <cellStyle name="Moneda" xfId="6" builtinId="4"/>
    <cellStyle name="Moneda [0]_Practicos de Planillas Planillas" xfId="7" xr:uid="{00000000-0005-0000-0000-000006000000}"/>
    <cellStyle name="Moneda_Ejer-Búsqueda-04Resuelto" xfId="8" xr:uid="{00000000-0005-0000-0000-000007000000}"/>
    <cellStyle name="Normal" xfId="0" builtinId="0"/>
    <cellStyle name="Normal_EJERCICIO 2" xfId="9" xr:uid="{00000000-0005-0000-0000-000009000000}"/>
    <cellStyle name="Normal_Practicos de Planillas Planillas" xfId="10" xr:uid="{00000000-0005-0000-0000-00000A000000}"/>
    <cellStyle name="Porcentaje" xfId="11" builtinId="5"/>
    <cellStyle name="YELLOW" xfId="12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304800</xdr:colOff>
      <xdr:row>1</xdr:row>
      <xdr:rowOff>66675</xdr:rowOff>
    </xdr:from>
    <xdr:to>
      <xdr:col>7</xdr:col>
      <xdr:colOff>390525</xdr:colOff>
      <xdr:row>4</xdr:row>
      <xdr:rowOff>76200</xdr:rowOff>
    </xdr:to>
    <xdr:sp macro="" textlink="">
      <xdr:nvSpPr>
        <xdr:cNvPr id="1034" name="WordArt 10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SpPr>
          <a:spLocks noChangeArrowheads="1" noChangeShapeType="1"/>
        </xdr:cNvSpPr>
      </xdr:nvSpPr>
      <xdr:spPr bwMode="auto">
        <a:xfrm>
          <a:off x="3619500" y="228600"/>
          <a:ext cx="2962275" cy="4953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CL" sz="3600" i="1" kern="10" spc="0">
              <a:ln w="9525">
                <a:solidFill>
                  <a:srgbClr val="000080"/>
                </a:solidFill>
                <a:round/>
                <a:headEnd/>
                <a:tailEnd/>
              </a:ln>
              <a:solidFill>
                <a:srgbClr val="C0C0C0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Busqueda y Referencia</a:t>
          </a:r>
        </a:p>
      </xdr:txBody>
    </xdr:sp>
    <xdr:clientData/>
  </xdr:twoCellAnchor>
  <xdr:twoCellAnchor editAs="oneCell">
    <xdr:from>
      <xdr:col>5</xdr:col>
      <xdr:colOff>485775</xdr:colOff>
      <xdr:row>6</xdr:row>
      <xdr:rowOff>104775</xdr:rowOff>
    </xdr:from>
    <xdr:to>
      <xdr:col>8</xdr:col>
      <xdr:colOff>232496</xdr:colOff>
      <xdr:row>26</xdr:row>
      <xdr:rowOff>152400</xdr:rowOff>
    </xdr:to>
    <xdr:pic>
      <xdr:nvPicPr>
        <xdr:cNvPr id="1037" name="Picture 13" descr="claves140404">
          <a:extLst>
            <a:ext uri="{FF2B5EF4-FFF2-40B4-BE49-F238E27FC236}">
              <a16:creationId xmlns:a16="http://schemas.microsoft.com/office/drawing/2014/main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24475" y="1076325"/>
          <a:ext cx="2066925" cy="35909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762000</xdr:colOff>
      <xdr:row>0</xdr:row>
      <xdr:rowOff>114300</xdr:rowOff>
    </xdr:from>
    <xdr:to>
      <xdr:col>4</xdr:col>
      <xdr:colOff>666750</xdr:colOff>
      <xdr:row>4</xdr:row>
      <xdr:rowOff>76200</xdr:rowOff>
    </xdr:to>
    <xdr:pic>
      <xdr:nvPicPr>
        <xdr:cNvPr id="4099" name="Picture 3" descr="visa-large">
          <a:extLst>
            <a:ext uri="{FF2B5EF4-FFF2-40B4-BE49-F238E27FC236}">
              <a16:creationId xmlns:a16="http://schemas.microsoft.com/office/drawing/2014/main" id="{00000000-0008-0000-0100-000003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38575" y="114300"/>
          <a:ext cx="952500" cy="609600"/>
        </a:xfrm>
        <a:prstGeom prst="rect">
          <a:avLst/>
        </a:prstGeom>
        <a:noFill/>
      </xdr:spPr>
    </xdr:pic>
    <xdr:clientData/>
  </xdr:twoCellAnchor>
  <xdr:twoCellAnchor>
    <xdr:from>
      <xdr:col>4</xdr:col>
      <xdr:colOff>790575</xdr:colOff>
      <xdr:row>2</xdr:row>
      <xdr:rowOff>19050</xdr:rowOff>
    </xdr:from>
    <xdr:to>
      <xdr:col>8</xdr:col>
      <xdr:colOff>0</xdr:colOff>
      <xdr:row>3</xdr:row>
      <xdr:rowOff>85725</xdr:rowOff>
    </xdr:to>
    <xdr:sp macro="" textlink="">
      <xdr:nvSpPr>
        <xdr:cNvPr id="4100" name="WordArt 4">
          <a:extLst>
            <a:ext uri="{FF2B5EF4-FFF2-40B4-BE49-F238E27FC236}">
              <a16:creationId xmlns:a16="http://schemas.microsoft.com/office/drawing/2014/main" id="{00000000-0008-0000-0100-0000041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4914900" y="342900"/>
          <a:ext cx="2562225" cy="2286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CL" sz="36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333399"/>
                  </a:gs>
                  <a:gs pos="50000">
                    <a:srgbClr val="FF9900"/>
                  </a:gs>
                  <a:gs pos="100000">
                    <a:srgbClr val="333399"/>
                  </a:gs>
                </a:gsLst>
                <a:lin ang="5400000" scaled="1"/>
              </a:gra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Base Ventas Visa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5</xdr:row>
      <xdr:rowOff>28575</xdr:rowOff>
    </xdr:from>
    <xdr:to>
      <xdr:col>5</xdr:col>
      <xdr:colOff>685800</xdr:colOff>
      <xdr:row>9</xdr:row>
      <xdr:rowOff>114300</xdr:rowOff>
    </xdr:to>
    <xdr:pic>
      <xdr:nvPicPr>
        <xdr:cNvPr id="7170" name="Picture 2" descr="visa-large">
          <a:extLst>
            <a:ext uri="{FF2B5EF4-FFF2-40B4-BE49-F238E27FC236}">
              <a16:creationId xmlns:a16="http://schemas.microsoft.com/office/drawing/2014/main" id="{00000000-0008-0000-0200-00000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52975" y="1485900"/>
          <a:ext cx="1285875" cy="781050"/>
        </a:xfrm>
        <a:prstGeom prst="rect">
          <a:avLst/>
        </a:prstGeom>
        <a:noFill/>
      </xdr:spPr>
    </xdr:pic>
    <xdr:clientData/>
  </xdr:twoCellAnchor>
  <xdr:twoCellAnchor>
    <xdr:from>
      <xdr:col>2</xdr:col>
      <xdr:colOff>76200</xdr:colOff>
      <xdr:row>1</xdr:row>
      <xdr:rowOff>19050</xdr:rowOff>
    </xdr:from>
    <xdr:to>
      <xdr:col>6</xdr:col>
      <xdr:colOff>752475</xdr:colOff>
      <xdr:row>2</xdr:row>
      <xdr:rowOff>133350</xdr:rowOff>
    </xdr:to>
    <xdr:sp macro="" textlink="">
      <xdr:nvSpPr>
        <xdr:cNvPr id="7172" name="WordArt 4">
          <a:extLst>
            <a:ext uri="{FF2B5EF4-FFF2-40B4-BE49-F238E27FC236}">
              <a16:creationId xmlns:a16="http://schemas.microsoft.com/office/drawing/2014/main" id="{00000000-0008-0000-0200-0000041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476500" y="790575"/>
          <a:ext cx="4552950" cy="2857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CL" sz="36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FFF200"/>
                  </a:gs>
                  <a:gs pos="45000">
                    <a:srgbClr val="FF7A00"/>
                  </a:gs>
                  <a:gs pos="70000">
                    <a:srgbClr val="FF0300"/>
                  </a:gs>
                  <a:gs pos="100000">
                    <a:srgbClr val="4D0808"/>
                  </a:gs>
                </a:gsLst>
                <a:lin ang="5400000" scaled="1"/>
              </a:gra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Busqueda por Factura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24</xdr:row>
      <xdr:rowOff>152400</xdr:rowOff>
    </xdr:from>
    <xdr:to>
      <xdr:col>4</xdr:col>
      <xdr:colOff>28575</xdr:colOff>
      <xdr:row>24</xdr:row>
      <xdr:rowOff>152400</xdr:rowOff>
    </xdr:to>
    <xdr:sp macro="" textlink="">
      <xdr:nvSpPr>
        <xdr:cNvPr id="9217" name="Line 1">
          <a:extLst>
            <a:ext uri="{FF2B5EF4-FFF2-40B4-BE49-F238E27FC236}">
              <a16:creationId xmlns:a16="http://schemas.microsoft.com/office/drawing/2014/main" id="{00000000-0008-0000-0400-000001240000}"/>
            </a:ext>
          </a:extLst>
        </xdr:cNvPr>
        <xdr:cNvSpPr>
          <a:spLocks noChangeShapeType="1"/>
        </xdr:cNvSpPr>
      </xdr:nvSpPr>
      <xdr:spPr bwMode="auto">
        <a:xfrm>
          <a:off x="981075" y="4743450"/>
          <a:ext cx="2638425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762000</xdr:colOff>
      <xdr:row>0</xdr:row>
      <xdr:rowOff>95250</xdr:rowOff>
    </xdr:from>
    <xdr:to>
      <xdr:col>8</xdr:col>
      <xdr:colOff>676275</xdr:colOff>
      <xdr:row>10</xdr:row>
      <xdr:rowOff>114300</xdr:rowOff>
    </xdr:to>
    <xdr:pic>
      <xdr:nvPicPr>
        <xdr:cNvPr id="2049" name="Picture 1" descr="3_esch">
          <a:extLst>
            <a:ext uri="{FF2B5EF4-FFF2-40B4-BE49-F238E27FC236}">
              <a16:creationId xmlns:a16="http://schemas.microsoft.com/office/drawing/2014/main" id="{00000000-0008-0000-05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00650" y="95250"/>
          <a:ext cx="2876550" cy="1771650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85725</xdr:colOff>
      <xdr:row>6</xdr:row>
      <xdr:rowOff>76200</xdr:rowOff>
    </xdr:from>
    <xdr:to>
      <xdr:col>4</xdr:col>
      <xdr:colOff>685800</xdr:colOff>
      <xdr:row>9</xdr:row>
      <xdr:rowOff>85725</xdr:rowOff>
    </xdr:to>
    <xdr:pic>
      <xdr:nvPicPr>
        <xdr:cNvPr id="2050" name="Picture 2" descr="citrola">
          <a:extLst>
            <a:ext uri="{FF2B5EF4-FFF2-40B4-BE49-F238E27FC236}">
              <a16:creationId xmlns:a16="http://schemas.microsoft.com/office/drawing/2014/main" id="{00000000-0008-0000-05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00375" y="1047750"/>
          <a:ext cx="1362075" cy="628650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247650</xdr:colOff>
      <xdr:row>1</xdr:row>
      <xdr:rowOff>28575</xdr:rowOff>
    </xdr:from>
    <xdr:to>
      <xdr:col>8</xdr:col>
      <xdr:colOff>704850</xdr:colOff>
      <xdr:row>29</xdr:row>
      <xdr:rowOff>114300</xdr:rowOff>
    </xdr:to>
    <xdr:pic>
      <xdr:nvPicPr>
        <xdr:cNvPr id="3075" name="Picture 3" descr="3059110_4093">
          <a:extLst>
            <a:ext uri="{FF2B5EF4-FFF2-40B4-BE49-F238E27FC236}">
              <a16:creationId xmlns:a16="http://schemas.microsoft.com/office/drawing/2014/main" id="{00000000-0008-0000-0600-000003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33650" y="190500"/>
          <a:ext cx="4267200" cy="4876800"/>
        </a:xfrm>
        <a:prstGeom prst="rect">
          <a:avLst/>
        </a:prstGeom>
        <a:noFill/>
      </xdr:spPr>
    </xdr:pic>
    <xdr:clientData/>
  </xdr:twoCellAnchor>
  <xdr:twoCellAnchor>
    <xdr:from>
      <xdr:col>4</xdr:col>
      <xdr:colOff>619125</xdr:colOff>
      <xdr:row>0</xdr:row>
      <xdr:rowOff>95250</xdr:rowOff>
    </xdr:from>
    <xdr:to>
      <xdr:col>8</xdr:col>
      <xdr:colOff>695325</xdr:colOff>
      <xdr:row>4</xdr:row>
      <xdr:rowOff>85725</xdr:rowOff>
    </xdr:to>
    <xdr:sp macro="" textlink="">
      <xdr:nvSpPr>
        <xdr:cNvPr id="3076" name="WordArt 4">
          <a:extLst>
            <a:ext uri="{FF2B5EF4-FFF2-40B4-BE49-F238E27FC236}">
              <a16:creationId xmlns:a16="http://schemas.microsoft.com/office/drawing/2014/main" id="{00000000-0008-0000-0600-0000040C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67125" y="95250"/>
          <a:ext cx="3124200" cy="63817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CL" sz="3600" i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Arial Black"/>
            </a:rPr>
            <a:t>Hoja de Consultas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171450</xdr:colOff>
      <xdr:row>13</xdr:row>
      <xdr:rowOff>19050</xdr:rowOff>
    </xdr:from>
    <xdr:to>
      <xdr:col>14</xdr:col>
      <xdr:colOff>533400</xdr:colOff>
      <xdr:row>32</xdr:row>
      <xdr:rowOff>133350</xdr:rowOff>
    </xdr:to>
    <xdr:pic>
      <xdr:nvPicPr>
        <xdr:cNvPr id="13313" name="Picture 1" descr="vendedor">
          <a:extLst>
            <a:ext uri="{FF2B5EF4-FFF2-40B4-BE49-F238E27FC236}">
              <a16:creationId xmlns:a16="http://schemas.microsoft.com/office/drawing/2014/main" id="{00000000-0008-0000-0900-000001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363075" y="2143125"/>
          <a:ext cx="1885950" cy="3200400"/>
        </a:xfrm>
        <a:prstGeom prst="rect">
          <a:avLst/>
        </a:prstGeom>
        <a:noFill/>
      </xdr:spPr>
    </xdr:pic>
    <xdr:clientData/>
  </xdr:twoCellAnchor>
  <xdr:twoCellAnchor>
    <xdr:from>
      <xdr:col>5</xdr:col>
      <xdr:colOff>504825</xdr:colOff>
      <xdr:row>1</xdr:row>
      <xdr:rowOff>104775</xdr:rowOff>
    </xdr:from>
    <xdr:to>
      <xdr:col>10</xdr:col>
      <xdr:colOff>352425</xdr:colOff>
      <xdr:row>4</xdr:row>
      <xdr:rowOff>0</xdr:rowOff>
    </xdr:to>
    <xdr:sp macro="" textlink="">
      <xdr:nvSpPr>
        <xdr:cNvPr id="13317" name="WordArt 5">
          <a:extLst>
            <a:ext uri="{FF2B5EF4-FFF2-40B4-BE49-F238E27FC236}">
              <a16:creationId xmlns:a16="http://schemas.microsoft.com/office/drawing/2014/main" id="{00000000-0008-0000-0900-00000534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667125" y="266700"/>
          <a:ext cx="4352925" cy="3810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es-CL" sz="3600" b="1" kern="10" spc="0">
              <a:ln w="9525">
                <a:noFill/>
                <a:round/>
                <a:headEnd/>
                <a:tailEnd/>
              </a:ln>
              <a:solidFill>
                <a:srgbClr val="336699"/>
              </a:solidFill>
              <a:effectLst>
                <a:outerShdw dist="45791" dir="2021404" algn="ctr" rotWithShape="0">
                  <a:srgbClr val="C0C0C0"/>
                </a:outerShdw>
              </a:effectLst>
              <a:latin typeface="Arial Black"/>
            </a:rPr>
            <a:t>Almacenes Parral</a:t>
          </a:r>
        </a:p>
      </xdr:txBody>
    </xdr:sp>
    <xdr:clientData/>
  </xdr:twoCellAnchor>
  <xdr:twoCellAnchor>
    <xdr:from>
      <xdr:col>11</xdr:col>
      <xdr:colOff>66675</xdr:colOff>
      <xdr:row>1</xdr:row>
      <xdr:rowOff>9525</xdr:rowOff>
    </xdr:from>
    <xdr:to>
      <xdr:col>12</xdr:col>
      <xdr:colOff>95250</xdr:colOff>
      <xdr:row>5</xdr:row>
      <xdr:rowOff>19050</xdr:rowOff>
    </xdr:to>
    <xdr:grpSp>
      <xdr:nvGrpSpPr>
        <xdr:cNvPr id="13318" name="Group 6">
          <a:extLst>
            <a:ext uri="{FF2B5EF4-FFF2-40B4-BE49-F238E27FC236}">
              <a16:creationId xmlns:a16="http://schemas.microsoft.com/office/drawing/2014/main" id="{00000000-0008-0000-0900-000006340000}"/>
            </a:ext>
          </a:extLst>
        </xdr:cNvPr>
        <xdr:cNvGrpSpPr>
          <a:grpSpLocks/>
        </xdr:cNvGrpSpPr>
      </xdr:nvGrpSpPr>
      <xdr:grpSpPr bwMode="auto">
        <a:xfrm>
          <a:off x="8776335" y="177165"/>
          <a:ext cx="821055" cy="680085"/>
          <a:chOff x="426" y="147"/>
          <a:chExt cx="76" cy="75"/>
        </a:xfrm>
      </xdr:grpSpPr>
      <xdr:sp macro="" textlink="">
        <xdr:nvSpPr>
          <xdr:cNvPr id="13319" name="Oval 7">
            <a:extLst>
              <a:ext uri="{FF2B5EF4-FFF2-40B4-BE49-F238E27FC236}">
                <a16:creationId xmlns:a16="http://schemas.microsoft.com/office/drawing/2014/main" id="{00000000-0008-0000-0900-000007340000}"/>
              </a:ext>
            </a:extLst>
          </xdr:cNvPr>
          <xdr:cNvSpPr>
            <a:spLocks noChangeArrowheads="1"/>
          </xdr:cNvSpPr>
        </xdr:nvSpPr>
        <xdr:spPr bwMode="auto">
          <a:xfrm>
            <a:off x="426" y="147"/>
            <a:ext cx="70" cy="75"/>
          </a:xfrm>
          <a:prstGeom prst="ellipse">
            <a:avLst/>
          </a:prstGeom>
          <a:solidFill>
            <a:srgbClr val="FFFFFF"/>
          </a:solidFill>
          <a:ln w="76200">
            <a:solidFill>
              <a:srgbClr val="003366"/>
            </a:solidFill>
            <a:round/>
            <a:headEnd/>
            <a:tailEnd/>
          </a:ln>
        </xdr:spPr>
      </xdr:sp>
      <xdr:sp macro="" textlink="">
        <xdr:nvSpPr>
          <xdr:cNvPr id="13320" name="Oval 8">
            <a:extLst>
              <a:ext uri="{FF2B5EF4-FFF2-40B4-BE49-F238E27FC236}">
                <a16:creationId xmlns:a16="http://schemas.microsoft.com/office/drawing/2014/main" id="{00000000-0008-0000-0900-000008340000}"/>
              </a:ext>
            </a:extLst>
          </xdr:cNvPr>
          <xdr:cNvSpPr>
            <a:spLocks noChangeArrowheads="1"/>
          </xdr:cNvSpPr>
        </xdr:nvSpPr>
        <xdr:spPr bwMode="auto">
          <a:xfrm>
            <a:off x="477" y="150"/>
            <a:ext cx="25" cy="27"/>
          </a:xfrm>
          <a:prstGeom prst="ellipse">
            <a:avLst/>
          </a:prstGeom>
          <a:solidFill>
            <a:srgbClr val="FFFFFF"/>
          </a:solidFill>
          <a:ln w="76200">
            <a:solidFill>
              <a:srgbClr val="000080"/>
            </a:solidFill>
            <a:round/>
            <a:headEnd/>
            <a:tailEnd/>
          </a:ln>
        </xdr:spPr>
      </xdr:sp>
      <xdr:sp macro="" textlink="">
        <xdr:nvSpPr>
          <xdr:cNvPr id="13321" name="WordArt 9">
            <a:extLst>
              <a:ext uri="{FF2B5EF4-FFF2-40B4-BE49-F238E27FC236}">
                <a16:creationId xmlns:a16="http://schemas.microsoft.com/office/drawing/2014/main" id="{00000000-0008-0000-0900-00000934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435" y="171"/>
            <a:ext cx="52" cy="25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es-CL" sz="3600" kern="10" spc="0">
                <a:ln w="9525">
                  <a:noFill/>
                  <a:round/>
                  <a:headEnd/>
                  <a:tailEnd/>
                </a:ln>
                <a:solidFill>
                  <a:srgbClr val="3366FF"/>
                </a:solidFill>
                <a:effectLst>
                  <a:outerShdw dist="35921" dir="2700000" algn="ctr" rotWithShape="0">
                    <a:srgbClr val="808080"/>
                  </a:outerShdw>
                </a:effectLst>
                <a:latin typeface="Arial Black"/>
              </a:rPr>
              <a:t>Parral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J98"/>
  <sheetViews>
    <sheetView showGridLines="0" tabSelected="1" topLeftCell="A40" zoomScale="110" zoomScaleNormal="110" workbookViewId="0">
      <selection activeCell="H51" sqref="H51"/>
    </sheetView>
  </sheetViews>
  <sheetFormatPr baseColWidth="10" defaultColWidth="11.44140625" defaultRowHeight="13.2" zeroHeight="1" x14ac:dyDescent="0.25"/>
  <cols>
    <col min="1" max="1" width="14.6640625" style="1" customWidth="1"/>
    <col min="2" max="2" width="14.33203125" style="1" customWidth="1"/>
    <col min="3" max="3" width="17" style="1" customWidth="1"/>
    <col min="4" max="4" width="12.33203125" style="1" customWidth="1"/>
    <col min="5" max="5" width="10.5546875" style="1" bestFit="1" customWidth="1"/>
    <col min="6" max="6" width="11.5546875" style="1" bestFit="1" customWidth="1"/>
    <col min="7" max="7" width="11.109375" style="1" customWidth="1"/>
    <col min="8" max="8" width="12.109375" style="1" bestFit="1" customWidth="1"/>
    <col min="9" max="9" width="10.5546875" style="1" bestFit="1" customWidth="1"/>
    <col min="10" max="10" width="11.88671875" style="1" bestFit="1" customWidth="1"/>
    <col min="11" max="11" width="11.44140625" style="1"/>
    <col min="12" max="12" width="15.6640625" style="1" bestFit="1" customWidth="1"/>
    <col min="13" max="16384" width="11.44140625" style="1"/>
  </cols>
  <sheetData>
    <row r="1" spans="1:9" x14ac:dyDescent="0.25">
      <c r="A1"/>
      <c r="B1"/>
      <c r="C1"/>
    </row>
    <row r="2" spans="1:9" x14ac:dyDescent="0.25">
      <c r="A2"/>
      <c r="B2"/>
      <c r="C2"/>
    </row>
    <row r="3" spans="1:9" x14ac:dyDescent="0.25">
      <c r="A3"/>
      <c r="B3"/>
      <c r="C3"/>
    </row>
    <row r="4" spans="1:9" x14ac:dyDescent="0.25">
      <c r="A4"/>
      <c r="B4"/>
      <c r="C4"/>
    </row>
    <row r="5" spans="1:9" x14ac:dyDescent="0.25">
      <c r="A5"/>
      <c r="B5"/>
      <c r="C5"/>
    </row>
    <row r="6" spans="1:9" x14ac:dyDescent="0.25"/>
    <row r="7" spans="1:9" ht="17.399999999999999" x14ac:dyDescent="0.3">
      <c r="A7" s="32" t="s">
        <v>6</v>
      </c>
      <c r="B7" s="33"/>
      <c r="C7" s="33"/>
      <c r="D7" s="33"/>
      <c r="E7" s="33"/>
      <c r="F7" s="33"/>
      <c r="G7" s="33"/>
      <c r="H7" s="33"/>
      <c r="I7" s="33"/>
    </row>
    <row r="8" spans="1:9" x14ac:dyDescent="0.25">
      <c r="A8" s="2" t="s">
        <v>7</v>
      </c>
    </row>
    <row r="9" spans="1:9" x14ac:dyDescent="0.25">
      <c r="A9" s="2" t="s">
        <v>412</v>
      </c>
    </row>
    <row r="10" spans="1:9" x14ac:dyDescent="0.25">
      <c r="A10" s="2"/>
    </row>
    <row r="11" spans="1:9" ht="22.8" x14ac:dyDescent="0.4">
      <c r="A11" s="37" t="s">
        <v>8</v>
      </c>
      <c r="C11" s="34"/>
    </row>
    <row r="12" spans="1:9" ht="15" x14ac:dyDescent="0.25">
      <c r="A12" s="230" t="s">
        <v>57</v>
      </c>
      <c r="C12" s="34"/>
    </row>
    <row r="13" spans="1:9" ht="15" x14ac:dyDescent="0.25">
      <c r="A13" s="132" t="s">
        <v>413</v>
      </c>
      <c r="C13" s="34"/>
    </row>
    <row r="14" spans="1:9" x14ac:dyDescent="0.25">
      <c r="C14" s="4"/>
    </row>
    <row r="15" spans="1:9" ht="13.8" thickBot="1" x14ac:dyDescent="0.3">
      <c r="A15" s="2" t="s">
        <v>249</v>
      </c>
    </row>
    <row r="16" spans="1:9" x14ac:dyDescent="0.25">
      <c r="A16" s="5" t="s">
        <v>58</v>
      </c>
      <c r="B16" s="6" t="s">
        <v>65</v>
      </c>
      <c r="C16" s="7" t="s">
        <v>56</v>
      </c>
      <c r="D16" s="59" t="s">
        <v>70</v>
      </c>
    </row>
    <row r="17" spans="1:8" x14ac:dyDescent="0.25">
      <c r="A17" s="60" t="s">
        <v>59</v>
      </c>
      <c r="B17" s="36">
        <v>10</v>
      </c>
      <c r="C17" s="35" t="s">
        <v>66</v>
      </c>
      <c r="D17" s="61" t="s">
        <v>51</v>
      </c>
    </row>
    <row r="18" spans="1:8" x14ac:dyDescent="0.25">
      <c r="A18" s="60" t="s">
        <v>60</v>
      </c>
      <c r="B18" s="36">
        <v>50</v>
      </c>
      <c r="C18" s="35" t="s">
        <v>67</v>
      </c>
      <c r="D18" s="61" t="s">
        <v>71</v>
      </c>
      <c r="E18" s="28"/>
    </row>
    <row r="19" spans="1:8" x14ac:dyDescent="0.25">
      <c r="A19" s="60" t="s">
        <v>61</v>
      </c>
      <c r="B19" s="36">
        <v>23</v>
      </c>
      <c r="C19" s="35" t="s">
        <v>68</v>
      </c>
      <c r="D19" s="61" t="s">
        <v>72</v>
      </c>
    </row>
    <row r="20" spans="1:8" x14ac:dyDescent="0.25">
      <c r="A20" s="60" t="s">
        <v>62</v>
      </c>
      <c r="B20" s="36">
        <v>51</v>
      </c>
      <c r="C20" s="35" t="s">
        <v>68</v>
      </c>
      <c r="D20" s="61" t="s">
        <v>73</v>
      </c>
      <c r="E20" s="10"/>
      <c r="F20" s="11"/>
      <c r="H20"/>
    </row>
    <row r="21" spans="1:8" x14ac:dyDescent="0.25">
      <c r="A21" s="60" t="s">
        <v>63</v>
      </c>
      <c r="B21" s="36">
        <v>60</v>
      </c>
      <c r="C21" s="35" t="s">
        <v>67</v>
      </c>
      <c r="D21" s="61" t="s">
        <v>51</v>
      </c>
      <c r="E21" s="10"/>
      <c r="F21" s="11"/>
    </row>
    <row r="22" spans="1:8" ht="13.8" thickBot="1" x14ac:dyDescent="0.3">
      <c r="A22" s="62" t="s">
        <v>64</v>
      </c>
      <c r="B22" s="63">
        <v>56</v>
      </c>
      <c r="C22" s="64" t="s">
        <v>69</v>
      </c>
      <c r="D22" s="65" t="s">
        <v>74</v>
      </c>
      <c r="E22" s="10"/>
      <c r="F22"/>
    </row>
    <row r="23" spans="1:8" ht="13.8" thickBot="1" x14ac:dyDescent="0.3"/>
    <row r="24" spans="1:8" ht="13.8" thickBot="1" x14ac:dyDescent="0.3">
      <c r="B24" s="8" t="s">
        <v>58</v>
      </c>
      <c r="C24" s="260" t="s">
        <v>415</v>
      </c>
      <c r="D24" s="1" t="s">
        <v>75</v>
      </c>
    </row>
    <row r="25" spans="1:8" x14ac:dyDescent="0.25"/>
    <row r="26" spans="1:8" ht="13.8" thickBot="1" x14ac:dyDescent="0.3"/>
    <row r="27" spans="1:8" x14ac:dyDescent="0.25">
      <c r="B27" s="53" t="s">
        <v>65</v>
      </c>
      <c r="C27" s="54">
        <f>VLOOKUP(C24,A16:D22,2,0)</f>
        <v>51</v>
      </c>
    </row>
    <row r="28" spans="1:8" x14ac:dyDescent="0.25">
      <c r="B28" s="55" t="s">
        <v>56</v>
      </c>
      <c r="C28" s="56" t="str">
        <f>VLOOKUP(C24,A17:D22,3,FALSE)</f>
        <v>Hipotecario</v>
      </c>
    </row>
    <row r="29" spans="1:8" ht="13.8" thickBot="1" x14ac:dyDescent="0.3">
      <c r="B29" s="57" t="s">
        <v>70</v>
      </c>
      <c r="C29" s="58" t="str">
        <f>VLOOKUP(C24,A17:D22,4,FALSE)</f>
        <v>Arica</v>
      </c>
    </row>
    <row r="30" spans="1:8" x14ac:dyDescent="0.25"/>
    <row r="31" spans="1:8" x14ac:dyDescent="0.25"/>
    <row r="32" spans="1:8" x14ac:dyDescent="0.25">
      <c r="A32" s="2" t="s">
        <v>250</v>
      </c>
    </row>
    <row r="33" spans="1:10" x14ac:dyDescent="0.25">
      <c r="A33" s="98" t="s">
        <v>13</v>
      </c>
      <c r="B33" s="98" t="s">
        <v>237</v>
      </c>
      <c r="C33" s="98" t="s">
        <v>238</v>
      </c>
    </row>
    <row r="34" spans="1:10" x14ac:dyDescent="0.25">
      <c r="A34" s="30" t="s">
        <v>239</v>
      </c>
      <c r="B34" s="30" t="s">
        <v>240</v>
      </c>
      <c r="C34" s="99">
        <v>450000</v>
      </c>
    </row>
    <row r="35" spans="1:10" x14ac:dyDescent="0.25">
      <c r="A35" s="30" t="s">
        <v>241</v>
      </c>
      <c r="B35" s="30" t="s">
        <v>242</v>
      </c>
      <c r="C35" s="99">
        <v>400000</v>
      </c>
    </row>
    <row r="36" spans="1:10" x14ac:dyDescent="0.25">
      <c r="A36" s="30" t="s">
        <v>243</v>
      </c>
      <c r="B36" s="30" t="s">
        <v>240</v>
      </c>
      <c r="C36" s="99">
        <v>450000</v>
      </c>
    </row>
    <row r="37" spans="1:10" x14ac:dyDescent="0.25">
      <c r="A37" s="30" t="s">
        <v>244</v>
      </c>
      <c r="B37" s="30" t="s">
        <v>245</v>
      </c>
      <c r="C37" s="99">
        <v>250000</v>
      </c>
    </row>
    <row r="38" spans="1:10" x14ac:dyDescent="0.25">
      <c r="A38" s="30" t="s">
        <v>246</v>
      </c>
      <c r="B38" s="30" t="s">
        <v>247</v>
      </c>
      <c r="C38" s="99">
        <v>350000</v>
      </c>
    </row>
    <row r="39" spans="1:10" x14ac:dyDescent="0.25">
      <c r="A39" s="30" t="s">
        <v>248</v>
      </c>
      <c r="B39" s="30" t="s">
        <v>242</v>
      </c>
      <c r="C39" s="99">
        <v>350000</v>
      </c>
    </row>
    <row r="40" spans="1:10" x14ac:dyDescent="0.25">
      <c r="A40"/>
      <c r="B40"/>
      <c r="C40"/>
    </row>
    <row r="41" spans="1:10" x14ac:dyDescent="0.25">
      <c r="A41"/>
      <c r="B41"/>
      <c r="C41"/>
    </row>
    <row r="42" spans="1:10" x14ac:dyDescent="0.25">
      <c r="A42" s="100" t="s">
        <v>13</v>
      </c>
      <c r="B42" s="30" t="s">
        <v>414</v>
      </c>
      <c r="C42"/>
    </row>
    <row r="43" spans="1:10" x14ac:dyDescent="0.25">
      <c r="A43" s="100" t="s">
        <v>237</v>
      </c>
      <c r="B43" s="101" t="str">
        <f>VLOOKUP(B42,A34:C39,2,FALSE)</f>
        <v>Contabilidad</v>
      </c>
      <c r="C43"/>
    </row>
    <row r="44" spans="1:10" x14ac:dyDescent="0.25">
      <c r="A44" s="100" t="s">
        <v>238</v>
      </c>
      <c r="B44" s="261">
        <f>VLOOKUP(B42,A34:C39,3,FALSE)</f>
        <v>250000</v>
      </c>
      <c r="C44"/>
    </row>
    <row r="45" spans="1:10" x14ac:dyDescent="0.25"/>
    <row r="46" spans="1:10" x14ac:dyDescent="0.25"/>
    <row r="47" spans="1:10" x14ac:dyDescent="0.25">
      <c r="A47" s="2" t="s">
        <v>307</v>
      </c>
      <c r="B47" s="133"/>
      <c r="C47" s="133"/>
      <c r="D47" s="133"/>
      <c r="E47" s="133"/>
      <c r="F47" s="133"/>
      <c r="G47" s="133"/>
      <c r="H47" s="133"/>
      <c r="I47" s="133"/>
      <c r="J47" s="133"/>
    </row>
    <row r="48" spans="1:10" ht="21" x14ac:dyDescent="0.4">
      <c r="A48" s="275" t="s">
        <v>300</v>
      </c>
      <c r="B48" s="275"/>
      <c r="C48" s="275"/>
      <c r="D48" s="275"/>
      <c r="E48" s="275"/>
      <c r="F48" s="275"/>
      <c r="G48" s="275"/>
      <c r="H48" s="275"/>
      <c r="I48" s="275"/>
      <c r="J48" s="275"/>
    </row>
    <row r="49" spans="1:10" x14ac:dyDescent="0.25">
      <c r="A49" s="133" t="s">
        <v>255</v>
      </c>
      <c r="B49" s="134"/>
      <c r="C49" s="133"/>
      <c r="D49" s="133"/>
      <c r="E49" s="133"/>
      <c r="F49" s="133"/>
      <c r="G49" s="133"/>
      <c r="H49" s="133"/>
      <c r="I49" s="133"/>
      <c r="J49" s="133"/>
    </row>
    <row r="50" spans="1:10" x14ac:dyDescent="0.25">
      <c r="A50" s="133"/>
      <c r="B50" s="134"/>
      <c r="C50" s="133"/>
      <c r="D50" s="133"/>
      <c r="E50" s="133"/>
      <c r="F50" s="133"/>
      <c r="G50" s="133"/>
      <c r="H50" s="133"/>
      <c r="I50" s="133"/>
      <c r="J50" s="133"/>
    </row>
    <row r="51" spans="1:10" x14ac:dyDescent="0.25">
      <c r="A51" s="135" t="s">
        <v>253</v>
      </c>
      <c r="B51" s="136" t="s">
        <v>254</v>
      </c>
      <c r="C51" s="135" t="s">
        <v>238</v>
      </c>
      <c r="D51" s="135" t="s">
        <v>256</v>
      </c>
      <c r="E51" s="135" t="s">
        <v>257</v>
      </c>
      <c r="F51"/>
      <c r="G51"/>
      <c r="H51"/>
      <c r="I51"/>
      <c r="J51"/>
    </row>
    <row r="52" spans="1:10" x14ac:dyDescent="0.25">
      <c r="A52" s="137" t="s">
        <v>301</v>
      </c>
      <c r="B52" s="138" t="s">
        <v>240</v>
      </c>
      <c r="C52" s="139">
        <v>350000</v>
      </c>
      <c r="D52" s="141">
        <v>3</v>
      </c>
      <c r="E52" s="140">
        <f t="shared" ref="E52:E60" si="0">VLOOKUP(D52,HORAS,3,TRUE)</f>
        <v>1600</v>
      </c>
      <c r="F52"/>
      <c r="G52"/>
      <c r="H52"/>
      <c r="I52"/>
      <c r="J52"/>
    </row>
    <row r="53" spans="1:10" x14ac:dyDescent="0.25">
      <c r="A53" s="137" t="s">
        <v>273</v>
      </c>
      <c r="B53" s="138" t="s">
        <v>245</v>
      </c>
      <c r="C53" s="139">
        <v>250000</v>
      </c>
      <c r="D53" s="141">
        <v>8</v>
      </c>
      <c r="E53" s="140">
        <f t="shared" si="0"/>
        <v>1900</v>
      </c>
      <c r="F53"/>
      <c r="G53"/>
      <c r="H53"/>
      <c r="I53"/>
      <c r="J53"/>
    </row>
    <row r="54" spans="1:10" x14ac:dyDescent="0.25">
      <c r="A54" s="137" t="s">
        <v>274</v>
      </c>
      <c r="B54" s="138" t="s">
        <v>242</v>
      </c>
      <c r="C54" s="139">
        <v>300000</v>
      </c>
      <c r="D54" s="141">
        <v>12</v>
      </c>
      <c r="E54" s="140">
        <f t="shared" si="0"/>
        <v>2100</v>
      </c>
      <c r="F54"/>
      <c r="G54"/>
      <c r="H54"/>
      <c r="I54"/>
      <c r="J54"/>
    </row>
    <row r="55" spans="1:10" x14ac:dyDescent="0.25">
      <c r="A55" s="137" t="s">
        <v>302</v>
      </c>
      <c r="B55" s="138" t="s">
        <v>240</v>
      </c>
      <c r="C55" s="139">
        <v>190000</v>
      </c>
      <c r="D55" s="141">
        <v>14</v>
      </c>
      <c r="E55" s="140">
        <f t="shared" si="0"/>
        <v>2100</v>
      </c>
      <c r="F55"/>
      <c r="G55"/>
      <c r="H55"/>
      <c r="I55"/>
      <c r="J55"/>
    </row>
    <row r="56" spans="1:10" x14ac:dyDescent="0.25">
      <c r="A56" s="137" t="s">
        <v>272</v>
      </c>
      <c r="B56" s="138" t="s">
        <v>240</v>
      </c>
      <c r="C56" s="139">
        <v>260000</v>
      </c>
      <c r="D56" s="141">
        <v>16</v>
      </c>
      <c r="E56" s="140">
        <f t="shared" si="0"/>
        <v>2100</v>
      </c>
      <c r="F56"/>
      <c r="G56"/>
      <c r="H56"/>
      <c r="I56"/>
      <c r="J56"/>
    </row>
    <row r="57" spans="1:10" x14ac:dyDescent="0.25">
      <c r="A57" s="137" t="s">
        <v>303</v>
      </c>
      <c r="B57" s="138" t="s">
        <v>245</v>
      </c>
      <c r="C57" s="139">
        <v>220000</v>
      </c>
      <c r="D57" s="141">
        <v>18</v>
      </c>
      <c r="E57" s="140">
        <f t="shared" si="0"/>
        <v>2100</v>
      </c>
      <c r="F57"/>
      <c r="G57"/>
      <c r="H57"/>
      <c r="I57"/>
      <c r="J57"/>
    </row>
    <row r="58" spans="1:10" x14ac:dyDescent="0.25">
      <c r="A58" s="137" t="s">
        <v>277</v>
      </c>
      <c r="B58" s="138" t="s">
        <v>245</v>
      </c>
      <c r="C58" s="139">
        <v>450000</v>
      </c>
      <c r="D58" s="141">
        <v>2</v>
      </c>
      <c r="E58" s="140">
        <f t="shared" si="0"/>
        <v>1600</v>
      </c>
      <c r="F58"/>
      <c r="G58"/>
      <c r="H58"/>
      <c r="I58"/>
      <c r="J58"/>
    </row>
    <row r="59" spans="1:10" x14ac:dyDescent="0.25">
      <c r="A59" s="137" t="s">
        <v>304</v>
      </c>
      <c r="B59" s="138" t="s">
        <v>242</v>
      </c>
      <c r="C59" s="139">
        <v>360000</v>
      </c>
      <c r="D59" s="141">
        <v>8</v>
      </c>
      <c r="E59" s="140">
        <f t="shared" si="0"/>
        <v>1900</v>
      </c>
      <c r="F59"/>
      <c r="G59"/>
      <c r="H59"/>
      <c r="I59"/>
      <c r="J59"/>
    </row>
    <row r="60" spans="1:10" x14ac:dyDescent="0.25">
      <c r="A60" s="142" t="s">
        <v>305</v>
      </c>
      <c r="B60" s="143" t="s">
        <v>240</v>
      </c>
      <c r="C60" s="139">
        <v>310000</v>
      </c>
      <c r="D60" s="141">
        <v>15</v>
      </c>
      <c r="E60" s="140">
        <f t="shared" si="0"/>
        <v>2100</v>
      </c>
      <c r="F60"/>
      <c r="G60"/>
      <c r="H60"/>
      <c r="I60"/>
      <c r="J60"/>
    </row>
    <row r="61" spans="1:10" x14ac:dyDescent="0.25">
      <c r="A61" s="133"/>
      <c r="B61" s="133"/>
      <c r="C61" s="133"/>
      <c r="D61" s="133"/>
      <c r="E61" s="133"/>
      <c r="F61" s="144"/>
      <c r="G61" s="144"/>
      <c r="H61" s="133"/>
      <c r="I61" s="133"/>
      <c r="J61" s="133"/>
    </row>
    <row r="62" spans="1:10" x14ac:dyDescent="0.25">
      <c r="A62" s="133"/>
      <c r="B62" s="133"/>
      <c r="C62" s="133"/>
      <c r="D62" s="133"/>
      <c r="E62" s="133"/>
      <c r="F62" s="133"/>
      <c r="G62" s="133"/>
      <c r="H62" s="133"/>
      <c r="I62" s="133"/>
      <c r="J62" s="133"/>
    </row>
    <row r="63" spans="1:10" x14ac:dyDescent="0.25">
      <c r="A63" s="133"/>
      <c r="B63" s="133"/>
      <c r="C63" s="133"/>
      <c r="D63" s="133"/>
      <c r="E63" s="133"/>
      <c r="F63" s="133"/>
      <c r="G63" s="133"/>
      <c r="H63" s="133"/>
      <c r="I63" s="133"/>
      <c r="J63" s="133"/>
    </row>
    <row r="64" spans="1:10" x14ac:dyDescent="0.25">
      <c r="A64" s="276" t="s">
        <v>306</v>
      </c>
      <c r="B64" s="276"/>
      <c r="C64" s="135" t="s">
        <v>202</v>
      </c>
      <c r="D64" s="133"/>
      <c r="E64" s="133" t="s">
        <v>231</v>
      </c>
      <c r="F64" s="133"/>
      <c r="G64" s="133"/>
      <c r="H64" s="133"/>
      <c r="I64" s="133"/>
      <c r="J64" s="133"/>
    </row>
    <row r="65" spans="1:10" x14ac:dyDescent="0.25">
      <c r="A65" s="145">
        <v>0</v>
      </c>
      <c r="B65" s="146">
        <v>6</v>
      </c>
      <c r="C65" s="147">
        <v>1600</v>
      </c>
      <c r="D65" s="133"/>
      <c r="E65" s="133"/>
      <c r="F65" s="133"/>
      <c r="G65" s="133"/>
      <c r="H65" s="133"/>
      <c r="I65" s="133"/>
      <c r="J65" s="133"/>
    </row>
    <row r="66" spans="1:10" x14ac:dyDescent="0.25">
      <c r="A66" s="148">
        <v>7</v>
      </c>
      <c r="B66" s="149">
        <v>11</v>
      </c>
      <c r="C66" s="150">
        <v>1900</v>
      </c>
      <c r="D66" s="133"/>
      <c r="E66" s="133" t="s">
        <v>308</v>
      </c>
      <c r="F66" s="133"/>
      <c r="G66" s="133"/>
      <c r="H66" s="133"/>
      <c r="I66" s="133"/>
      <c r="J66" s="133"/>
    </row>
    <row r="67" spans="1:10" x14ac:dyDescent="0.25">
      <c r="A67" s="148">
        <v>12</v>
      </c>
      <c r="B67" s="149">
        <v>19</v>
      </c>
      <c r="C67" s="150">
        <v>2100</v>
      </c>
      <c r="D67" s="133"/>
      <c r="E67" s="133" t="s">
        <v>309</v>
      </c>
      <c r="F67" s="133"/>
      <c r="G67" s="133"/>
      <c r="H67" s="133"/>
      <c r="I67" s="133"/>
      <c r="J67" s="133"/>
    </row>
    <row r="68" spans="1:10" x14ac:dyDescent="0.25">
      <c r="A68" s="148">
        <v>20</v>
      </c>
      <c r="B68" s="149">
        <v>25</v>
      </c>
      <c r="C68" s="150">
        <v>2900</v>
      </c>
      <c r="D68" s="133"/>
      <c r="E68" s="133" t="s">
        <v>310</v>
      </c>
      <c r="F68" s="133"/>
      <c r="G68" s="133"/>
      <c r="H68" s="133"/>
      <c r="I68" s="133"/>
      <c r="J68" s="133"/>
    </row>
    <row r="69" spans="1:10" x14ac:dyDescent="0.25">
      <c r="A69" s="148">
        <f t="shared" ref="A69:A74" si="1">+B68+1</f>
        <v>26</v>
      </c>
      <c r="B69" s="149">
        <f t="shared" ref="B69:B74" si="2">+A69+6</f>
        <v>32</v>
      </c>
      <c r="C69" s="151">
        <f t="shared" ref="C69:C74" si="3">+C68+1100</f>
        <v>4000</v>
      </c>
      <c r="D69" s="133"/>
      <c r="E69" s="133" t="s">
        <v>311</v>
      </c>
      <c r="F69" s="133"/>
      <c r="G69" s="133"/>
      <c r="H69" s="133"/>
      <c r="I69" s="133"/>
      <c r="J69" s="133"/>
    </row>
    <row r="70" spans="1:10" x14ac:dyDescent="0.25">
      <c r="A70" s="148">
        <f t="shared" si="1"/>
        <v>33</v>
      </c>
      <c r="B70" s="149">
        <f t="shared" si="2"/>
        <v>39</v>
      </c>
      <c r="C70" s="151">
        <f t="shared" si="3"/>
        <v>5100</v>
      </c>
      <c r="D70" s="133"/>
      <c r="E70" s="133"/>
      <c r="F70" s="133"/>
      <c r="G70" s="133"/>
      <c r="H70" s="133"/>
      <c r="I70" s="133"/>
      <c r="J70" s="133"/>
    </row>
    <row r="71" spans="1:10" x14ac:dyDescent="0.25">
      <c r="A71" s="148">
        <f t="shared" si="1"/>
        <v>40</v>
      </c>
      <c r="B71" s="149">
        <f t="shared" si="2"/>
        <v>46</v>
      </c>
      <c r="C71" s="151">
        <f t="shared" si="3"/>
        <v>6200</v>
      </c>
      <c r="D71" s="133"/>
      <c r="E71" s="133"/>
      <c r="F71" s="133"/>
      <c r="G71" s="133"/>
      <c r="H71" s="133"/>
      <c r="I71" s="133"/>
      <c r="J71" s="133"/>
    </row>
    <row r="72" spans="1:10" x14ac:dyDescent="0.25">
      <c r="A72" s="148">
        <f t="shared" si="1"/>
        <v>47</v>
      </c>
      <c r="B72" s="149">
        <f t="shared" si="2"/>
        <v>53</v>
      </c>
      <c r="C72" s="151">
        <f t="shared" si="3"/>
        <v>7300</v>
      </c>
      <c r="D72" s="133"/>
      <c r="E72" s="133"/>
      <c r="F72" s="133"/>
      <c r="G72" s="133"/>
      <c r="H72" s="133"/>
      <c r="I72" s="133"/>
      <c r="J72" s="133"/>
    </row>
    <row r="73" spans="1:10" x14ac:dyDescent="0.25">
      <c r="A73" s="148">
        <f t="shared" si="1"/>
        <v>54</v>
      </c>
      <c r="B73" s="149">
        <f t="shared" si="2"/>
        <v>60</v>
      </c>
      <c r="C73" s="151">
        <f t="shared" si="3"/>
        <v>8400</v>
      </c>
      <c r="D73" s="133"/>
      <c r="E73" s="133"/>
      <c r="F73" s="133"/>
      <c r="G73" s="133"/>
      <c r="H73" s="133"/>
      <c r="I73" s="133"/>
      <c r="J73" s="133"/>
    </row>
    <row r="74" spans="1:10" x14ac:dyDescent="0.25">
      <c r="A74" s="152">
        <f t="shared" si="1"/>
        <v>61</v>
      </c>
      <c r="B74" s="153">
        <f t="shared" si="2"/>
        <v>67</v>
      </c>
      <c r="C74" s="154">
        <f t="shared" si="3"/>
        <v>9500</v>
      </c>
      <c r="D74" s="133"/>
      <c r="E74" s="133"/>
      <c r="F74" s="133"/>
      <c r="G74" s="133"/>
      <c r="H74" s="133"/>
      <c r="I74" s="133"/>
      <c r="J74" s="133"/>
    </row>
    <row r="75" spans="1:10" x14ac:dyDescent="0.25"/>
    <row r="76" spans="1:10" x14ac:dyDescent="0.25"/>
    <row r="77" spans="1:10" x14ac:dyDescent="0.25"/>
    <row r="78" spans="1:10" x14ac:dyDescent="0.25"/>
    <row r="79" spans="1:10" x14ac:dyDescent="0.25"/>
    <row r="80" spans="1:1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</sheetData>
  <mergeCells count="2">
    <mergeCell ref="A48:J48"/>
    <mergeCell ref="A64:B64"/>
  </mergeCells>
  <phoneticPr fontId="13" type="noConversion"/>
  <pageMargins left="0.72" right="0.75" top="1" bottom="1" header="0" footer="0"/>
  <pageSetup scale="65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7:M47"/>
  <sheetViews>
    <sheetView showGridLines="0" topLeftCell="A31" workbookViewId="0">
      <selection activeCell="G45" sqref="G45"/>
    </sheetView>
  </sheetViews>
  <sheetFormatPr baseColWidth="10" defaultRowHeight="13.2" x14ac:dyDescent="0.25"/>
  <cols>
    <col min="1" max="1" width="1.6640625" customWidth="1"/>
    <col min="6" max="6" width="12.44140625" customWidth="1"/>
    <col min="7" max="7" width="12.6640625" customWidth="1"/>
    <col min="8" max="8" width="13.88671875" customWidth="1"/>
    <col min="9" max="9" width="13.44140625" customWidth="1"/>
    <col min="10" max="10" width="15.109375" customWidth="1"/>
  </cols>
  <sheetData>
    <row r="7" spans="2:13" ht="13.8" thickBot="1" x14ac:dyDescent="0.3">
      <c r="B7" t="s">
        <v>397</v>
      </c>
      <c r="G7" t="s">
        <v>405</v>
      </c>
      <c r="K7" t="s">
        <v>406</v>
      </c>
    </row>
    <row r="8" spans="2:13" x14ac:dyDescent="0.25">
      <c r="B8" s="245" t="s">
        <v>391</v>
      </c>
      <c r="C8" s="246" t="s">
        <v>392</v>
      </c>
      <c r="D8" s="254" t="s">
        <v>401</v>
      </c>
      <c r="E8" s="247" t="s">
        <v>238</v>
      </c>
      <c r="G8" s="292" t="s">
        <v>398</v>
      </c>
      <c r="H8" s="293"/>
      <c r="I8" s="247" t="s">
        <v>399</v>
      </c>
      <c r="K8" s="292" t="s">
        <v>226</v>
      </c>
      <c r="L8" s="293"/>
      <c r="M8" s="247" t="s">
        <v>399</v>
      </c>
    </row>
    <row r="9" spans="2:13" x14ac:dyDescent="0.25">
      <c r="B9" s="108" t="s">
        <v>393</v>
      </c>
      <c r="C9" s="30" t="s">
        <v>394</v>
      </c>
      <c r="D9" s="255" t="s">
        <v>402</v>
      </c>
      <c r="E9" s="248">
        <v>400000</v>
      </c>
      <c r="G9" s="108">
        <v>0</v>
      </c>
      <c r="H9" s="30">
        <v>150000</v>
      </c>
      <c r="I9" s="250">
        <v>0.03</v>
      </c>
      <c r="K9" s="108">
        <v>0</v>
      </c>
      <c r="L9" s="30">
        <v>120</v>
      </c>
      <c r="M9" s="257">
        <v>2.5000000000000001E-2</v>
      </c>
    </row>
    <row r="10" spans="2:13" x14ac:dyDescent="0.25">
      <c r="B10" s="108" t="s">
        <v>395</v>
      </c>
      <c r="C10" s="30" t="s">
        <v>244</v>
      </c>
      <c r="D10" s="255" t="s">
        <v>403</v>
      </c>
      <c r="E10" s="248">
        <v>250000</v>
      </c>
      <c r="G10" s="108">
        <v>150001</v>
      </c>
      <c r="H10" s="30">
        <v>500000</v>
      </c>
      <c r="I10" s="250">
        <v>0.06</v>
      </c>
      <c r="K10" s="108">
        <v>121</v>
      </c>
      <c r="L10" s="30">
        <v>380</v>
      </c>
      <c r="M10" s="257">
        <v>8.8999999999999996E-2</v>
      </c>
    </row>
    <row r="11" spans="2:13" ht="13.8" thickBot="1" x14ac:dyDescent="0.3">
      <c r="B11" s="109" t="s">
        <v>396</v>
      </c>
      <c r="C11" s="102" t="s">
        <v>243</v>
      </c>
      <c r="D11" s="256" t="s">
        <v>404</v>
      </c>
      <c r="E11" s="249">
        <v>180000</v>
      </c>
      <c r="G11" s="109">
        <v>500001</v>
      </c>
      <c r="H11" s="102">
        <v>1500000</v>
      </c>
      <c r="I11" s="251">
        <v>0.08</v>
      </c>
      <c r="K11" s="109">
        <v>381</v>
      </c>
      <c r="L11" s="102">
        <v>1000</v>
      </c>
      <c r="M11" s="258">
        <v>0.124</v>
      </c>
    </row>
    <row r="14" spans="2:13" ht="13.8" thickBot="1" x14ac:dyDescent="0.3">
      <c r="G14" s="237"/>
      <c r="H14" s="274" t="s">
        <v>417</v>
      </c>
    </row>
    <row r="15" spans="2:13" x14ac:dyDescent="0.25">
      <c r="B15" s="252" t="s">
        <v>391</v>
      </c>
      <c r="C15" s="253" t="s">
        <v>392</v>
      </c>
      <c r="D15" s="253" t="s">
        <v>400</v>
      </c>
      <c r="E15" s="253" t="s">
        <v>398</v>
      </c>
      <c r="F15" s="253" t="s">
        <v>408</v>
      </c>
      <c r="G15" s="253" t="s">
        <v>407</v>
      </c>
      <c r="H15" s="253" t="s">
        <v>409</v>
      </c>
      <c r="I15" s="253" t="s">
        <v>410</v>
      </c>
      <c r="J15" s="253" t="s">
        <v>411</v>
      </c>
      <c r="K15" s="253" t="s">
        <v>238</v>
      </c>
      <c r="L15" s="253" t="s">
        <v>292</v>
      </c>
    </row>
    <row r="16" spans="2:13" x14ac:dyDescent="0.25">
      <c r="B16" s="108" t="s">
        <v>393</v>
      </c>
      <c r="C16" s="101"/>
      <c r="D16" s="101"/>
      <c r="E16" s="248">
        <v>300000</v>
      </c>
      <c r="F16" s="101"/>
      <c r="G16" s="259"/>
      <c r="H16" s="101"/>
      <c r="I16" s="259"/>
      <c r="J16" s="259"/>
      <c r="K16" s="101"/>
      <c r="L16" s="259"/>
    </row>
    <row r="17" spans="2:12" x14ac:dyDescent="0.25">
      <c r="B17" s="108" t="s">
        <v>395</v>
      </c>
      <c r="C17" s="101"/>
      <c r="D17" s="101"/>
      <c r="E17" s="248">
        <v>500000</v>
      </c>
      <c r="F17" s="101"/>
      <c r="G17" s="259"/>
      <c r="H17" s="101"/>
      <c r="I17" s="259"/>
      <c r="J17" s="259"/>
      <c r="K17" s="101"/>
      <c r="L17" s="259"/>
    </row>
    <row r="18" spans="2:12" x14ac:dyDescent="0.25">
      <c r="B18" s="108" t="s">
        <v>396</v>
      </c>
      <c r="C18" s="101"/>
      <c r="D18" s="101"/>
      <c r="E18" s="248">
        <v>700000</v>
      </c>
      <c r="F18" s="101"/>
      <c r="G18" s="259"/>
      <c r="H18" s="101"/>
      <c r="I18" s="259"/>
      <c r="J18" s="259"/>
      <c r="K18" s="101"/>
      <c r="L18" s="259"/>
    </row>
    <row r="19" spans="2:12" x14ac:dyDescent="0.25">
      <c r="B19" s="108" t="s">
        <v>393</v>
      </c>
      <c r="C19" s="101"/>
      <c r="D19" s="101"/>
      <c r="E19" s="248">
        <v>900000</v>
      </c>
      <c r="F19" s="101"/>
      <c r="G19" s="259"/>
      <c r="H19" s="101"/>
      <c r="I19" s="259"/>
      <c r="J19" s="259"/>
      <c r="K19" s="101"/>
      <c r="L19" s="259"/>
    </row>
    <row r="20" spans="2:12" x14ac:dyDescent="0.25">
      <c r="B20" s="108" t="s">
        <v>395</v>
      </c>
      <c r="C20" s="101"/>
      <c r="D20" s="101"/>
      <c r="E20" s="248">
        <v>1100000</v>
      </c>
      <c r="F20" s="101"/>
      <c r="G20" s="259"/>
      <c r="H20" s="101"/>
      <c r="I20" s="259"/>
      <c r="J20" s="259"/>
      <c r="K20" s="101"/>
      <c r="L20" s="259"/>
    </row>
    <row r="21" spans="2:12" x14ac:dyDescent="0.25">
      <c r="B21" s="108" t="s">
        <v>396</v>
      </c>
      <c r="C21" s="101"/>
      <c r="D21" s="101"/>
      <c r="E21" s="248">
        <v>1300000</v>
      </c>
      <c r="F21" s="101"/>
      <c r="G21" s="259"/>
      <c r="H21" s="101"/>
      <c r="I21" s="259"/>
      <c r="J21" s="259"/>
      <c r="K21" s="101"/>
      <c r="L21" s="259"/>
    </row>
    <row r="22" spans="2:12" x14ac:dyDescent="0.25">
      <c r="B22" s="108" t="s">
        <v>393</v>
      </c>
      <c r="C22" s="101"/>
      <c r="D22" s="101"/>
      <c r="E22" s="248">
        <v>1500000</v>
      </c>
      <c r="F22" s="101"/>
      <c r="G22" s="259"/>
      <c r="H22" s="101"/>
      <c r="I22" s="259"/>
      <c r="J22" s="259"/>
      <c r="K22" s="101"/>
      <c r="L22" s="259"/>
    </row>
    <row r="23" spans="2:12" x14ac:dyDescent="0.25">
      <c r="B23" s="108" t="s">
        <v>395</v>
      </c>
      <c r="C23" s="101"/>
      <c r="D23" s="101"/>
      <c r="E23" s="248">
        <v>1700000</v>
      </c>
      <c r="F23" s="101"/>
      <c r="G23" s="259"/>
      <c r="H23" s="101"/>
      <c r="I23" s="259"/>
      <c r="J23" s="259"/>
      <c r="K23" s="101"/>
      <c r="L23" s="259"/>
    </row>
    <row r="24" spans="2:12" x14ac:dyDescent="0.25">
      <c r="B24" s="108" t="s">
        <v>396</v>
      </c>
      <c r="C24" s="101"/>
      <c r="D24" s="101"/>
      <c r="E24" s="248">
        <v>95000</v>
      </c>
      <c r="F24" s="101"/>
      <c r="G24" s="259"/>
      <c r="H24" s="101"/>
      <c r="I24" s="259"/>
      <c r="J24" s="259"/>
      <c r="K24" s="101"/>
      <c r="L24" s="259"/>
    </row>
    <row r="25" spans="2:12" x14ac:dyDescent="0.25">
      <c r="B25" s="108" t="s">
        <v>393</v>
      </c>
      <c r="C25" s="101"/>
      <c r="D25" s="101"/>
      <c r="E25" s="248">
        <v>210000</v>
      </c>
      <c r="F25" s="101"/>
      <c r="G25" s="259"/>
      <c r="H25" s="101"/>
      <c r="I25" s="259"/>
      <c r="J25" s="259"/>
      <c r="K25" s="101"/>
      <c r="L25" s="259"/>
    </row>
    <row r="26" spans="2:12" x14ac:dyDescent="0.25">
      <c r="B26" s="108" t="s">
        <v>395</v>
      </c>
      <c r="C26" s="101"/>
      <c r="D26" s="101"/>
      <c r="E26" s="248">
        <v>60000</v>
      </c>
      <c r="F26" s="101"/>
      <c r="G26" s="259"/>
      <c r="H26" s="101"/>
      <c r="I26" s="259"/>
      <c r="J26" s="259"/>
      <c r="K26" s="101"/>
      <c r="L26" s="259"/>
    </row>
    <row r="27" spans="2:12" x14ac:dyDescent="0.25">
      <c r="B27" s="108" t="s">
        <v>396</v>
      </c>
      <c r="C27" s="101"/>
      <c r="D27" s="101"/>
      <c r="E27" s="248">
        <v>2500000</v>
      </c>
      <c r="F27" s="101"/>
      <c r="G27" s="259"/>
      <c r="H27" s="101"/>
      <c r="I27" s="259"/>
      <c r="J27" s="259"/>
      <c r="K27" s="101"/>
      <c r="L27" s="259"/>
    </row>
    <row r="28" spans="2:12" x14ac:dyDescent="0.25">
      <c r="B28" s="108" t="s">
        <v>396</v>
      </c>
      <c r="C28" s="101"/>
      <c r="D28" s="101"/>
      <c r="E28" s="248">
        <v>8800000</v>
      </c>
      <c r="F28" s="101"/>
      <c r="G28" s="259"/>
      <c r="H28" s="101"/>
      <c r="I28" s="259"/>
      <c r="J28" s="259"/>
      <c r="K28" s="101"/>
      <c r="L28" s="259"/>
    </row>
    <row r="29" spans="2:12" x14ac:dyDescent="0.25">
      <c r="B29" s="108" t="s">
        <v>393</v>
      </c>
      <c r="C29" s="101"/>
      <c r="D29" s="101"/>
      <c r="E29" s="248">
        <v>60000</v>
      </c>
      <c r="F29" s="101"/>
      <c r="G29" s="259"/>
      <c r="H29" s="101"/>
      <c r="I29" s="259"/>
      <c r="J29" s="259"/>
      <c r="K29" s="101"/>
      <c r="L29" s="259"/>
    </row>
    <row r="30" spans="2:12" x14ac:dyDescent="0.25">
      <c r="B30" s="108" t="s">
        <v>396</v>
      </c>
      <c r="C30" s="101"/>
      <c r="D30" s="101"/>
      <c r="E30" s="248">
        <v>700000</v>
      </c>
      <c r="F30" s="101"/>
      <c r="G30" s="259"/>
      <c r="H30" s="101"/>
      <c r="I30" s="259"/>
      <c r="J30" s="259"/>
      <c r="K30" s="101"/>
      <c r="L30" s="259"/>
    </row>
    <row r="31" spans="2:12" x14ac:dyDescent="0.25">
      <c r="B31" s="108" t="s">
        <v>393</v>
      </c>
      <c r="C31" s="101"/>
      <c r="D31" s="101"/>
      <c r="E31" s="248">
        <v>40000</v>
      </c>
      <c r="F31" s="101"/>
      <c r="G31" s="259"/>
      <c r="H31" s="101"/>
      <c r="I31" s="259"/>
      <c r="J31" s="259"/>
      <c r="K31" s="101"/>
      <c r="L31" s="259"/>
    </row>
    <row r="32" spans="2:12" x14ac:dyDescent="0.25">
      <c r="B32" s="108" t="s">
        <v>395</v>
      </c>
      <c r="C32" s="101"/>
      <c r="D32" s="101"/>
      <c r="E32" s="248">
        <v>680000</v>
      </c>
      <c r="F32" s="101"/>
      <c r="G32" s="259"/>
      <c r="H32" s="101"/>
      <c r="I32" s="259"/>
      <c r="J32" s="259"/>
      <c r="K32" s="101"/>
      <c r="L32" s="259"/>
    </row>
    <row r="33" spans="2:12" x14ac:dyDescent="0.25">
      <c r="B33" s="108" t="s">
        <v>396</v>
      </c>
      <c r="C33" s="101"/>
      <c r="D33" s="101"/>
      <c r="E33" s="248">
        <v>1300000</v>
      </c>
      <c r="F33" s="101"/>
      <c r="G33" s="259"/>
      <c r="H33" s="101"/>
      <c r="I33" s="259"/>
      <c r="J33" s="259"/>
      <c r="K33" s="101"/>
      <c r="L33" s="259"/>
    </row>
    <row r="34" spans="2:12" x14ac:dyDescent="0.25">
      <c r="B34" s="108" t="s">
        <v>395</v>
      </c>
      <c r="C34" s="101"/>
      <c r="D34" s="101"/>
      <c r="E34" s="248">
        <v>90000</v>
      </c>
      <c r="F34" s="101"/>
      <c r="G34" s="259"/>
      <c r="H34" s="101"/>
      <c r="I34" s="259"/>
      <c r="J34" s="259"/>
      <c r="K34" s="101"/>
      <c r="L34" s="259"/>
    </row>
    <row r="35" spans="2:12" x14ac:dyDescent="0.25">
      <c r="B35" s="108" t="s">
        <v>396</v>
      </c>
      <c r="C35" s="101"/>
      <c r="D35" s="101"/>
      <c r="E35" s="248">
        <v>1700000</v>
      </c>
      <c r="F35" s="101"/>
      <c r="G35" s="259"/>
      <c r="H35" s="101"/>
      <c r="I35" s="259"/>
      <c r="J35" s="259"/>
      <c r="K35" s="101"/>
      <c r="L35" s="259"/>
    </row>
    <row r="36" spans="2:12" x14ac:dyDescent="0.25">
      <c r="B36" s="108" t="s">
        <v>395</v>
      </c>
      <c r="C36" s="101"/>
      <c r="D36" s="101"/>
      <c r="E36" s="248">
        <v>75000</v>
      </c>
      <c r="F36" s="101"/>
      <c r="G36" s="259"/>
      <c r="H36" s="101"/>
      <c r="I36" s="259"/>
      <c r="J36" s="259"/>
      <c r="K36" s="101"/>
      <c r="L36" s="259"/>
    </row>
    <row r="37" spans="2:12" x14ac:dyDescent="0.25">
      <c r="B37" s="108" t="s">
        <v>396</v>
      </c>
      <c r="C37" s="101"/>
      <c r="D37" s="101"/>
      <c r="E37" s="248">
        <v>2100000</v>
      </c>
      <c r="F37" s="101"/>
      <c r="G37" s="259"/>
      <c r="H37" s="101"/>
      <c r="I37" s="259"/>
      <c r="J37" s="259"/>
      <c r="K37" s="101"/>
      <c r="L37" s="259"/>
    </row>
    <row r="38" spans="2:12" x14ac:dyDescent="0.25">
      <c r="B38" s="108" t="s">
        <v>395</v>
      </c>
      <c r="C38" s="101"/>
      <c r="D38" s="101"/>
      <c r="E38" s="248">
        <v>65000</v>
      </c>
      <c r="F38" s="101"/>
      <c r="G38" s="259"/>
      <c r="H38" s="101"/>
      <c r="I38" s="259"/>
      <c r="J38" s="259"/>
      <c r="K38" s="101"/>
      <c r="L38" s="259"/>
    </row>
    <row r="39" spans="2:12" x14ac:dyDescent="0.25">
      <c r="B39" s="108" t="s">
        <v>396</v>
      </c>
      <c r="C39" s="101"/>
      <c r="D39" s="101"/>
      <c r="E39" s="248">
        <v>98000</v>
      </c>
      <c r="F39" s="101"/>
      <c r="G39" s="259"/>
      <c r="H39" s="101"/>
      <c r="I39" s="259"/>
      <c r="J39" s="259"/>
      <c r="K39" s="101"/>
      <c r="L39" s="259"/>
    </row>
    <row r="40" spans="2:12" x14ac:dyDescent="0.25">
      <c r="B40" s="108" t="s">
        <v>393</v>
      </c>
      <c r="C40" s="101"/>
      <c r="D40" s="101"/>
      <c r="E40" s="248">
        <v>131000</v>
      </c>
      <c r="F40" s="101"/>
      <c r="G40" s="259"/>
      <c r="H40" s="101"/>
      <c r="I40" s="259"/>
      <c r="J40" s="259"/>
      <c r="K40" s="101"/>
      <c r="L40" s="259"/>
    </row>
    <row r="41" spans="2:12" x14ac:dyDescent="0.25">
      <c r="B41" s="108" t="s">
        <v>395</v>
      </c>
      <c r="C41" s="101"/>
      <c r="D41" s="101"/>
      <c r="E41" s="248">
        <v>164000</v>
      </c>
      <c r="F41" s="101"/>
      <c r="G41" s="259"/>
      <c r="H41" s="101"/>
      <c r="I41" s="259"/>
      <c r="J41" s="259"/>
      <c r="K41" s="101"/>
      <c r="L41" s="259"/>
    </row>
    <row r="42" spans="2:12" x14ac:dyDescent="0.25">
      <c r="B42" s="108" t="s">
        <v>393</v>
      </c>
      <c r="C42" s="101"/>
      <c r="D42" s="101"/>
      <c r="E42" s="248">
        <v>197000</v>
      </c>
      <c r="F42" s="101"/>
      <c r="G42" s="259"/>
      <c r="H42" s="101"/>
      <c r="I42" s="259"/>
      <c r="J42" s="259"/>
      <c r="K42" s="101"/>
      <c r="L42" s="259"/>
    </row>
    <row r="43" spans="2:12" x14ac:dyDescent="0.25">
      <c r="B43" s="108" t="s">
        <v>395</v>
      </c>
      <c r="C43" s="101"/>
      <c r="D43" s="101"/>
      <c r="E43" s="248">
        <v>230000</v>
      </c>
      <c r="F43" s="101"/>
      <c r="G43" s="259"/>
      <c r="H43" s="101"/>
      <c r="I43" s="259"/>
      <c r="J43" s="259"/>
      <c r="K43" s="101"/>
      <c r="L43" s="259"/>
    </row>
    <row r="44" spans="2:12" x14ac:dyDescent="0.25">
      <c r="B44" s="108" t="s">
        <v>393</v>
      </c>
      <c r="C44" s="101"/>
      <c r="D44" s="101"/>
      <c r="E44" s="248">
        <v>263000</v>
      </c>
      <c r="F44" s="101"/>
      <c r="G44" s="259"/>
      <c r="H44" s="101"/>
      <c r="I44" s="259"/>
      <c r="J44" s="259"/>
      <c r="K44" s="101"/>
      <c r="L44" s="259"/>
    </row>
    <row r="45" spans="2:12" x14ac:dyDescent="0.25">
      <c r="B45" s="108" t="s">
        <v>395</v>
      </c>
      <c r="C45" s="101"/>
      <c r="D45" s="101"/>
      <c r="E45" s="248">
        <v>296000</v>
      </c>
      <c r="F45" s="101"/>
      <c r="G45" s="259"/>
      <c r="H45" s="101"/>
      <c r="I45" s="259"/>
      <c r="J45" s="259"/>
      <c r="K45" s="101"/>
      <c r="L45" s="259"/>
    </row>
    <row r="46" spans="2:12" x14ac:dyDescent="0.25">
      <c r="B46" s="108" t="s">
        <v>393</v>
      </c>
      <c r="C46" s="101"/>
      <c r="D46" s="101"/>
      <c r="E46" s="248">
        <v>329000</v>
      </c>
      <c r="F46" s="101"/>
      <c r="G46" s="259"/>
      <c r="H46" s="101"/>
      <c r="I46" s="259"/>
      <c r="J46" s="259"/>
      <c r="K46" s="101"/>
      <c r="L46" s="259"/>
    </row>
    <row r="47" spans="2:12" x14ac:dyDescent="0.25">
      <c r="B47" s="108" t="s">
        <v>395</v>
      </c>
      <c r="C47" s="101"/>
      <c r="D47" s="101"/>
      <c r="E47" s="248">
        <v>362000</v>
      </c>
      <c r="F47" s="101"/>
      <c r="G47" s="259"/>
      <c r="H47" s="101"/>
      <c r="I47" s="259"/>
      <c r="J47" s="259"/>
      <c r="K47" s="101"/>
      <c r="L47" s="259"/>
    </row>
  </sheetData>
  <mergeCells count="2">
    <mergeCell ref="G8:H8"/>
    <mergeCell ref="K8:L8"/>
  </mergeCells>
  <phoneticPr fontId="13" type="noConversion"/>
  <pageMargins left="0.75" right="0.75" top="1" bottom="1" header="0" footer="0"/>
  <pageSetup paperSize="9" orientation="portrait" horizontalDpi="4294967293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>
    <pageSetUpPr fitToPage="1"/>
  </sheetPr>
  <dimension ref="A1:R24"/>
  <sheetViews>
    <sheetView topLeftCell="E1" zoomScale="75" workbookViewId="0">
      <selection activeCell="J18" sqref="J18"/>
    </sheetView>
  </sheetViews>
  <sheetFormatPr baseColWidth="10" defaultColWidth="11.44140625" defaultRowHeight="13.8" x14ac:dyDescent="0.25"/>
  <cols>
    <col min="1" max="1" width="6.88671875" style="180" customWidth="1"/>
    <col min="2" max="2" width="21.6640625" style="180" customWidth="1"/>
    <col min="3" max="3" width="20" style="180" customWidth="1"/>
    <col min="4" max="4" width="14.44140625" style="180" customWidth="1"/>
    <col min="5" max="5" width="12" style="180" bestFit="1" customWidth="1"/>
    <col min="6" max="6" width="12" style="180" customWidth="1"/>
    <col min="7" max="7" width="13.44140625" style="180" customWidth="1"/>
    <col min="8" max="8" width="11.44140625" style="180" bestFit="1"/>
    <col min="9" max="10" width="12.6640625" style="180" customWidth="1"/>
    <col min="11" max="11" width="9.6640625" style="180" customWidth="1"/>
    <col min="12" max="12" width="12.88671875" style="180" bestFit="1" customWidth="1"/>
    <col min="13" max="13" width="13.88671875" style="180" bestFit="1" customWidth="1"/>
    <col min="14" max="14" width="11.44140625" style="180"/>
    <col min="15" max="15" width="17.6640625" style="180" customWidth="1"/>
    <col min="16" max="16" width="16.5546875" style="180" bestFit="1" customWidth="1"/>
    <col min="17" max="17" width="12" style="180" bestFit="1" customWidth="1"/>
    <col min="18" max="18" width="16.6640625" style="180" customWidth="1"/>
    <col min="19" max="16384" width="11.44140625" style="180"/>
  </cols>
  <sheetData>
    <row r="1" spans="1:18" ht="27.75" customHeight="1" x14ac:dyDescent="0.3">
      <c r="A1" s="296" t="s">
        <v>333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6"/>
    </row>
    <row r="2" spans="1:18" ht="14.4" thickBot="1" x14ac:dyDescent="0.3"/>
    <row r="3" spans="1:18" ht="27.6" x14ac:dyDescent="0.25">
      <c r="A3" s="181" t="s">
        <v>334</v>
      </c>
      <c r="B3" s="182" t="s">
        <v>335</v>
      </c>
      <c r="C3" s="182" t="s">
        <v>336</v>
      </c>
      <c r="D3" s="182" t="s">
        <v>322</v>
      </c>
      <c r="E3" s="182" t="s">
        <v>337</v>
      </c>
      <c r="F3" s="182" t="s">
        <v>320</v>
      </c>
      <c r="G3" s="182" t="s">
        <v>338</v>
      </c>
      <c r="H3" s="182" t="s">
        <v>372</v>
      </c>
      <c r="I3" s="182" t="s">
        <v>373</v>
      </c>
      <c r="J3" s="182" t="s">
        <v>339</v>
      </c>
      <c r="K3" s="182" t="s">
        <v>374</v>
      </c>
      <c r="L3" s="182" t="s">
        <v>340</v>
      </c>
      <c r="M3" s="182" t="s">
        <v>341</v>
      </c>
      <c r="N3" s="182" t="s">
        <v>342</v>
      </c>
      <c r="O3" s="182" t="s">
        <v>343</v>
      </c>
      <c r="P3" s="182" t="s">
        <v>323</v>
      </c>
      <c r="Q3" s="182" t="s">
        <v>344</v>
      </c>
      <c r="R3" s="183" t="s">
        <v>345</v>
      </c>
    </row>
    <row r="4" spans="1:18" x14ac:dyDescent="0.25">
      <c r="A4" s="184">
        <v>1</v>
      </c>
      <c r="B4" s="185" t="s">
        <v>346</v>
      </c>
      <c r="C4" s="185" t="s">
        <v>347</v>
      </c>
      <c r="D4" s="186">
        <v>350000</v>
      </c>
      <c r="E4" s="186">
        <f>D4*0.25</f>
        <v>87500</v>
      </c>
      <c r="F4" s="187">
        <f t="shared" ref="F4:F12" si="0">SUM(D4,E4)</f>
        <v>437500</v>
      </c>
      <c r="G4" s="188">
        <v>19</v>
      </c>
      <c r="H4" s="219"/>
      <c r="I4" s="187">
        <f>+G4*H4</f>
        <v>0</v>
      </c>
      <c r="J4" s="220"/>
      <c r="K4" s="189">
        <f>+J4*D4</f>
        <v>0</v>
      </c>
      <c r="L4" s="188">
        <v>2</v>
      </c>
      <c r="M4" s="221"/>
      <c r="N4" s="221"/>
      <c r="O4" s="187">
        <f>+F4*0.07</f>
        <v>30625.000000000004</v>
      </c>
      <c r="P4" s="186">
        <v>45000</v>
      </c>
      <c r="Q4" s="187">
        <f t="shared" ref="Q4:Q12" si="1">SUM(N4,O4,P4)</f>
        <v>75625</v>
      </c>
      <c r="R4" s="190">
        <f t="shared" ref="R4:R12" si="2">SUM(F4,I4)-Q4</f>
        <v>361875</v>
      </c>
    </row>
    <row r="5" spans="1:18" x14ac:dyDescent="0.25">
      <c r="A5" s="184">
        <v>2</v>
      </c>
      <c r="B5" s="185" t="s">
        <v>348</v>
      </c>
      <c r="C5" s="185" t="s">
        <v>349</v>
      </c>
      <c r="D5" s="186">
        <v>250000</v>
      </c>
      <c r="E5" s="186">
        <f t="shared" ref="E5:E12" si="3">D5*0.25</f>
        <v>62500</v>
      </c>
      <c r="F5" s="187">
        <f t="shared" si="0"/>
        <v>312500</v>
      </c>
      <c r="G5" s="188">
        <v>5</v>
      </c>
      <c r="H5" s="219"/>
      <c r="I5" s="187">
        <f t="shared" ref="I5:I12" si="4">+G5*H5</f>
        <v>0</v>
      </c>
      <c r="J5" s="220"/>
      <c r="K5" s="189">
        <f t="shared" ref="K5:K12" si="5">+J5*D5</f>
        <v>0</v>
      </c>
      <c r="L5" s="188">
        <v>5</v>
      </c>
      <c r="M5" s="221"/>
      <c r="N5" s="221"/>
      <c r="O5" s="187">
        <f t="shared" ref="O5:O12" si="6">+F5*0.07</f>
        <v>21875.000000000004</v>
      </c>
      <c r="P5" s="186">
        <v>5000</v>
      </c>
      <c r="Q5" s="187">
        <f t="shared" si="1"/>
        <v>26875.000000000004</v>
      </c>
      <c r="R5" s="190">
        <f t="shared" si="2"/>
        <v>285625</v>
      </c>
    </row>
    <row r="6" spans="1:18" x14ac:dyDescent="0.25">
      <c r="A6" s="184">
        <v>3</v>
      </c>
      <c r="B6" s="185" t="s">
        <v>350</v>
      </c>
      <c r="C6" s="185" t="s">
        <v>351</v>
      </c>
      <c r="D6" s="186">
        <v>300000</v>
      </c>
      <c r="E6" s="186">
        <f t="shared" si="3"/>
        <v>75000</v>
      </c>
      <c r="F6" s="187">
        <f t="shared" si="0"/>
        <v>375000</v>
      </c>
      <c r="G6" s="188">
        <v>19</v>
      </c>
      <c r="H6" s="219"/>
      <c r="I6" s="187">
        <f t="shared" si="4"/>
        <v>0</v>
      </c>
      <c r="J6" s="220"/>
      <c r="K6" s="189">
        <f t="shared" si="5"/>
        <v>0</v>
      </c>
      <c r="L6" s="188">
        <v>4</v>
      </c>
      <c r="M6" s="221"/>
      <c r="N6" s="221"/>
      <c r="O6" s="187">
        <f t="shared" si="6"/>
        <v>26250.000000000004</v>
      </c>
      <c r="P6" s="186">
        <v>35000</v>
      </c>
      <c r="Q6" s="187">
        <f t="shared" si="1"/>
        <v>61250</v>
      </c>
      <c r="R6" s="190">
        <f t="shared" si="2"/>
        <v>313750</v>
      </c>
    </row>
    <row r="7" spans="1:18" x14ac:dyDescent="0.25">
      <c r="A7" s="184">
        <v>4</v>
      </c>
      <c r="B7" s="185" t="s">
        <v>352</v>
      </c>
      <c r="C7" s="185" t="s">
        <v>347</v>
      </c>
      <c r="D7" s="186">
        <v>180000</v>
      </c>
      <c r="E7" s="186">
        <f t="shared" si="3"/>
        <v>45000</v>
      </c>
      <c r="F7" s="187">
        <f t="shared" si="0"/>
        <v>225000</v>
      </c>
      <c r="G7" s="188">
        <v>18</v>
      </c>
      <c r="H7" s="219"/>
      <c r="I7" s="187">
        <f t="shared" si="4"/>
        <v>0</v>
      </c>
      <c r="J7" s="220"/>
      <c r="K7" s="189">
        <f t="shared" si="5"/>
        <v>0</v>
      </c>
      <c r="L7" s="188">
        <v>6</v>
      </c>
      <c r="M7" s="221"/>
      <c r="N7" s="221"/>
      <c r="O7" s="187">
        <f t="shared" si="6"/>
        <v>15750.000000000002</v>
      </c>
      <c r="P7" s="186">
        <v>26000</v>
      </c>
      <c r="Q7" s="187">
        <f t="shared" si="1"/>
        <v>41750</v>
      </c>
      <c r="R7" s="190">
        <f t="shared" si="2"/>
        <v>183250</v>
      </c>
    </row>
    <row r="8" spans="1:18" x14ac:dyDescent="0.25">
      <c r="A8" s="184">
        <v>5</v>
      </c>
      <c r="B8" s="185" t="s">
        <v>353</v>
      </c>
      <c r="C8" s="185" t="s">
        <v>349</v>
      </c>
      <c r="D8" s="186">
        <v>260000</v>
      </c>
      <c r="E8" s="186">
        <f t="shared" si="3"/>
        <v>65000</v>
      </c>
      <c r="F8" s="187">
        <f t="shared" si="0"/>
        <v>325000</v>
      </c>
      <c r="G8" s="188">
        <v>8</v>
      </c>
      <c r="H8" s="219"/>
      <c r="I8" s="187">
        <f t="shared" si="4"/>
        <v>0</v>
      </c>
      <c r="J8" s="220"/>
      <c r="K8" s="189">
        <f t="shared" si="5"/>
        <v>0</v>
      </c>
      <c r="L8" s="188">
        <v>3</v>
      </c>
      <c r="M8" s="221"/>
      <c r="N8" s="221"/>
      <c r="O8" s="187">
        <f t="shared" si="6"/>
        <v>22750.000000000004</v>
      </c>
      <c r="P8" s="186">
        <v>35000</v>
      </c>
      <c r="Q8" s="187">
        <f t="shared" si="1"/>
        <v>57750</v>
      </c>
      <c r="R8" s="190">
        <f t="shared" si="2"/>
        <v>267250</v>
      </c>
    </row>
    <row r="9" spans="1:18" x14ac:dyDescent="0.25">
      <c r="A9" s="184">
        <v>6</v>
      </c>
      <c r="B9" s="185" t="s">
        <v>354</v>
      </c>
      <c r="C9" s="185" t="s">
        <v>351</v>
      </c>
      <c r="D9" s="186">
        <v>220000</v>
      </c>
      <c r="E9" s="186">
        <f t="shared" si="3"/>
        <v>55000</v>
      </c>
      <c r="F9" s="187">
        <f t="shared" si="0"/>
        <v>275000</v>
      </c>
      <c r="G9" s="188">
        <v>16</v>
      </c>
      <c r="H9" s="219"/>
      <c r="I9" s="187">
        <f t="shared" si="4"/>
        <v>0</v>
      </c>
      <c r="J9" s="220"/>
      <c r="K9" s="189">
        <f t="shared" si="5"/>
        <v>0</v>
      </c>
      <c r="L9" s="188">
        <v>2</v>
      </c>
      <c r="M9" s="221"/>
      <c r="N9" s="221"/>
      <c r="O9" s="187">
        <f t="shared" si="6"/>
        <v>19250.000000000004</v>
      </c>
      <c r="P9" s="186">
        <v>45000</v>
      </c>
      <c r="Q9" s="187">
        <f t="shared" si="1"/>
        <v>64250</v>
      </c>
      <c r="R9" s="190">
        <f t="shared" si="2"/>
        <v>210750</v>
      </c>
    </row>
    <row r="10" spans="1:18" x14ac:dyDescent="0.25">
      <c r="A10" s="184">
        <v>7</v>
      </c>
      <c r="B10" s="185" t="s">
        <v>355</v>
      </c>
      <c r="C10" s="185" t="s">
        <v>347</v>
      </c>
      <c r="D10" s="186">
        <v>450000</v>
      </c>
      <c r="E10" s="186">
        <f t="shared" si="3"/>
        <v>112500</v>
      </c>
      <c r="F10" s="187">
        <f t="shared" si="0"/>
        <v>562500</v>
      </c>
      <c r="G10" s="188">
        <v>15</v>
      </c>
      <c r="H10" s="219"/>
      <c r="I10" s="187">
        <f t="shared" si="4"/>
        <v>0</v>
      </c>
      <c r="J10" s="220"/>
      <c r="K10" s="189">
        <f t="shared" si="5"/>
        <v>0</v>
      </c>
      <c r="L10" s="188">
        <v>1</v>
      </c>
      <c r="M10" s="221"/>
      <c r="N10" s="221"/>
      <c r="O10" s="187">
        <f t="shared" si="6"/>
        <v>39375.000000000007</v>
      </c>
      <c r="P10" s="186">
        <v>35000</v>
      </c>
      <c r="Q10" s="187">
        <f t="shared" si="1"/>
        <v>74375</v>
      </c>
      <c r="R10" s="190">
        <f t="shared" si="2"/>
        <v>488125</v>
      </c>
    </row>
    <row r="11" spans="1:18" x14ac:dyDescent="0.25">
      <c r="A11" s="184">
        <v>8</v>
      </c>
      <c r="B11" s="185" t="s">
        <v>356</v>
      </c>
      <c r="C11" s="185" t="s">
        <v>349</v>
      </c>
      <c r="D11" s="186">
        <v>360000</v>
      </c>
      <c r="E11" s="186">
        <f t="shared" si="3"/>
        <v>90000</v>
      </c>
      <c r="F11" s="187">
        <f t="shared" si="0"/>
        <v>450000</v>
      </c>
      <c r="G11" s="188">
        <v>14</v>
      </c>
      <c r="H11" s="219"/>
      <c r="I11" s="187">
        <f t="shared" si="4"/>
        <v>0</v>
      </c>
      <c r="J11" s="220"/>
      <c r="K11" s="189">
        <f t="shared" si="5"/>
        <v>0</v>
      </c>
      <c r="L11" s="188">
        <v>7</v>
      </c>
      <c r="M11" s="221"/>
      <c r="N11" s="221"/>
      <c r="O11" s="187">
        <f t="shared" si="6"/>
        <v>31500.000000000004</v>
      </c>
      <c r="P11" s="186">
        <v>26000</v>
      </c>
      <c r="Q11" s="187">
        <f t="shared" si="1"/>
        <v>57500</v>
      </c>
      <c r="R11" s="190">
        <f t="shared" si="2"/>
        <v>392500</v>
      </c>
    </row>
    <row r="12" spans="1:18" ht="14.4" thickBot="1" x14ac:dyDescent="0.3">
      <c r="A12" s="191">
        <v>9</v>
      </c>
      <c r="B12" s="192" t="s">
        <v>357</v>
      </c>
      <c r="C12" s="192" t="s">
        <v>351</v>
      </c>
      <c r="D12" s="193">
        <v>310000</v>
      </c>
      <c r="E12" s="193">
        <f t="shared" si="3"/>
        <v>77500</v>
      </c>
      <c r="F12" s="194">
        <f t="shared" si="0"/>
        <v>387500</v>
      </c>
      <c r="G12" s="195">
        <v>12</v>
      </c>
      <c r="H12" s="226"/>
      <c r="I12" s="194">
        <f t="shared" si="4"/>
        <v>0</v>
      </c>
      <c r="J12" s="227"/>
      <c r="K12" s="228">
        <f t="shared" si="5"/>
        <v>0</v>
      </c>
      <c r="L12" s="195">
        <v>2</v>
      </c>
      <c r="M12" s="229"/>
      <c r="N12" s="229"/>
      <c r="O12" s="194">
        <f t="shared" si="6"/>
        <v>27125.000000000004</v>
      </c>
      <c r="P12" s="193">
        <v>38000</v>
      </c>
      <c r="Q12" s="194">
        <f t="shared" si="1"/>
        <v>65125</v>
      </c>
      <c r="R12" s="196">
        <f t="shared" si="2"/>
        <v>322375</v>
      </c>
    </row>
    <row r="13" spans="1:18" x14ac:dyDescent="0.25">
      <c r="E13" s="197"/>
    </row>
    <row r="14" spans="1:18" x14ac:dyDescent="0.25">
      <c r="B14" s="198" t="s">
        <v>358</v>
      </c>
    </row>
    <row r="15" spans="1:18" ht="14.4" thickBot="1" x14ac:dyDescent="0.3"/>
    <row r="16" spans="1:18" ht="14.4" thickBot="1" x14ac:dyDescent="0.3">
      <c r="B16" s="198" t="s">
        <v>359</v>
      </c>
      <c r="O16" s="180" t="s">
        <v>316</v>
      </c>
      <c r="P16" s="199">
        <v>1</v>
      </c>
    </row>
    <row r="17" spans="2:16" ht="14.4" thickBot="1" x14ac:dyDescent="0.3">
      <c r="B17" s="294" t="s">
        <v>322</v>
      </c>
      <c r="C17" s="295"/>
      <c r="D17" s="200" t="s">
        <v>324</v>
      </c>
      <c r="F17" s="294" t="s">
        <v>328</v>
      </c>
      <c r="G17" s="295"/>
      <c r="H17" s="200" t="s">
        <v>360</v>
      </c>
      <c r="K17" s="201" t="s">
        <v>361</v>
      </c>
      <c r="L17" s="202" t="s">
        <v>362</v>
      </c>
      <c r="M17" s="203" t="s">
        <v>363</v>
      </c>
      <c r="O17" s="180" t="s">
        <v>335</v>
      </c>
      <c r="P17" s="222"/>
    </row>
    <row r="18" spans="2:16" ht="14.4" thickBot="1" x14ac:dyDescent="0.3">
      <c r="B18" s="204">
        <v>0</v>
      </c>
      <c r="C18" s="205">
        <v>150000</v>
      </c>
      <c r="D18" s="206">
        <v>0.1</v>
      </c>
      <c r="F18" s="207">
        <v>0</v>
      </c>
      <c r="G18" s="208">
        <v>6</v>
      </c>
      <c r="H18" s="209">
        <v>2500</v>
      </c>
      <c r="K18" s="207">
        <v>1</v>
      </c>
      <c r="L18" s="180" t="s">
        <v>364</v>
      </c>
      <c r="M18" s="210">
        <v>0.1285</v>
      </c>
    </row>
    <row r="19" spans="2:16" ht="14.4" thickBot="1" x14ac:dyDescent="0.3">
      <c r="B19" s="204">
        <v>150001</v>
      </c>
      <c r="C19" s="205">
        <v>250000</v>
      </c>
      <c r="D19" s="206">
        <v>0.12</v>
      </c>
      <c r="F19" s="207">
        <v>7</v>
      </c>
      <c r="G19" s="208">
        <v>10</v>
      </c>
      <c r="H19" s="209">
        <v>2900</v>
      </c>
      <c r="K19" s="207">
        <v>2</v>
      </c>
      <c r="L19" s="180" t="s">
        <v>365</v>
      </c>
      <c r="M19" s="210">
        <v>0.13500000000000001</v>
      </c>
      <c r="O19" s="180" t="s">
        <v>362</v>
      </c>
      <c r="P19" s="223"/>
    </row>
    <row r="20" spans="2:16" ht="14.4" thickBot="1" x14ac:dyDescent="0.3">
      <c r="B20" s="204">
        <v>250001</v>
      </c>
      <c r="C20" s="205">
        <v>350000</v>
      </c>
      <c r="D20" s="206">
        <v>0.15</v>
      </c>
      <c r="F20" s="207">
        <v>11</v>
      </c>
      <c r="G20" s="208">
        <v>18</v>
      </c>
      <c r="H20" s="209">
        <v>3200</v>
      </c>
      <c r="K20" s="207">
        <v>3</v>
      </c>
      <c r="L20" s="180" t="s">
        <v>366</v>
      </c>
      <c r="M20" s="210">
        <v>0.14499999999999999</v>
      </c>
      <c r="O20" s="180" t="s">
        <v>367</v>
      </c>
      <c r="P20" s="224"/>
    </row>
    <row r="21" spans="2:16" ht="14.4" thickBot="1" x14ac:dyDescent="0.3">
      <c r="B21" s="211">
        <v>350001</v>
      </c>
      <c r="C21" s="212"/>
      <c r="D21" s="213">
        <v>0.2</v>
      </c>
      <c r="F21" s="214">
        <v>19</v>
      </c>
      <c r="G21" s="215"/>
      <c r="H21" s="216">
        <v>4500</v>
      </c>
      <c r="K21" s="207">
        <v>4</v>
      </c>
      <c r="L21" s="180" t="s">
        <v>368</v>
      </c>
      <c r="M21" s="210">
        <v>0.1305</v>
      </c>
      <c r="O21" s="180" t="s">
        <v>323</v>
      </c>
      <c r="P21" s="225"/>
    </row>
    <row r="22" spans="2:16" ht="14.4" thickBot="1" x14ac:dyDescent="0.3">
      <c r="K22" s="207">
        <v>5</v>
      </c>
      <c r="L22" s="180" t="s">
        <v>369</v>
      </c>
      <c r="M22" s="210">
        <v>0.12590000000000001</v>
      </c>
      <c r="O22" s="180" t="s">
        <v>345</v>
      </c>
      <c r="P22" s="225"/>
    </row>
    <row r="23" spans="2:16" x14ac:dyDescent="0.25">
      <c r="K23" s="207">
        <v>6</v>
      </c>
      <c r="L23" s="180" t="s">
        <v>370</v>
      </c>
      <c r="M23" s="210">
        <v>0.12559999999999999</v>
      </c>
    </row>
    <row r="24" spans="2:16" ht="14.4" thickBot="1" x14ac:dyDescent="0.3">
      <c r="B24" s="198"/>
      <c r="K24" s="214">
        <v>7</v>
      </c>
      <c r="L24" s="217" t="s">
        <v>371</v>
      </c>
      <c r="M24" s="218">
        <v>0.14560000000000001</v>
      </c>
    </row>
  </sheetData>
  <mergeCells count="3">
    <mergeCell ref="B17:C17"/>
    <mergeCell ref="F17:G17"/>
    <mergeCell ref="A1:Q1"/>
  </mergeCells>
  <phoneticPr fontId="23" type="noConversion"/>
  <dataValidations count="1">
    <dataValidation type="list" allowBlank="1" showInputMessage="1" showErrorMessage="1" sqref="P16" xr:uid="{00000000-0002-0000-0A00-000000000000}">
      <formula1>$A$4:$A$12</formula1>
    </dataValidation>
  </dataValidations>
  <pageMargins left="0.75" right="0.75" top="0.59055118110236227" bottom="1" header="0" footer="0"/>
  <pageSetup scale="64" orientation="landscape" horizontalDpi="300" verticalDpi="300" r:id="rId1"/>
  <headerFooter alignWithMargins="0">
    <oddFooter>&amp;R&amp;F : 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7:F44"/>
  <sheetViews>
    <sheetView showGridLines="0" topLeftCell="A4" workbookViewId="0">
      <selection activeCell="G28" sqref="G28"/>
    </sheetView>
  </sheetViews>
  <sheetFormatPr baseColWidth="10" defaultRowHeight="13.2" x14ac:dyDescent="0.25"/>
  <cols>
    <col min="1" max="1" width="5" customWidth="1"/>
    <col min="2" max="2" width="16" customWidth="1"/>
    <col min="3" max="3" width="15.33203125" customWidth="1"/>
    <col min="4" max="4" width="14" customWidth="1"/>
    <col min="6" max="6" width="14" customWidth="1"/>
  </cols>
  <sheetData>
    <row r="7" spans="1:6" x14ac:dyDescent="0.25">
      <c r="A7" t="s">
        <v>0</v>
      </c>
    </row>
    <row r="10" spans="1:6" x14ac:dyDescent="0.25">
      <c r="B10" t="s">
        <v>1</v>
      </c>
    </row>
    <row r="12" spans="1:6" x14ac:dyDescent="0.25">
      <c r="B12" s="238" t="s">
        <v>3</v>
      </c>
    </row>
    <row r="14" spans="1:6" x14ac:dyDescent="0.25">
      <c r="B14" t="s">
        <v>2</v>
      </c>
      <c r="C14" s="30" t="s">
        <v>379</v>
      </c>
      <c r="D14" s="236"/>
    </row>
    <row r="16" spans="1:6" x14ac:dyDescent="0.25">
      <c r="B16" s="235" t="s">
        <v>378</v>
      </c>
      <c r="C16" s="235" t="s">
        <v>379</v>
      </c>
      <c r="D16" s="235" t="s">
        <v>380</v>
      </c>
      <c r="E16" s="235" t="s">
        <v>381</v>
      </c>
      <c r="F16" s="235" t="s">
        <v>382</v>
      </c>
    </row>
    <row r="18" spans="2:6" x14ac:dyDescent="0.25">
      <c r="B18" t="s">
        <v>4</v>
      </c>
    </row>
    <row r="20" spans="2:6" x14ac:dyDescent="0.25">
      <c r="B20" s="239" t="s">
        <v>5</v>
      </c>
    </row>
    <row r="21" spans="2:6" x14ac:dyDescent="0.25">
      <c r="B21" s="237"/>
    </row>
    <row r="22" spans="2:6" x14ac:dyDescent="0.25">
      <c r="B22" t="s">
        <v>375</v>
      </c>
      <c r="C22" s="231" t="s">
        <v>381</v>
      </c>
    </row>
    <row r="23" spans="2:6" x14ac:dyDescent="0.25">
      <c r="B23" t="s">
        <v>376</v>
      </c>
      <c r="C23" s="231" t="s">
        <v>382</v>
      </c>
      <c r="E23" t="s">
        <v>377</v>
      </c>
      <c r="F23" s="232"/>
    </row>
    <row r="26" spans="2:6" x14ac:dyDescent="0.25">
      <c r="B26" s="235" t="s">
        <v>378</v>
      </c>
      <c r="C26" s="235" t="s">
        <v>379</v>
      </c>
      <c r="D26" s="235" t="s">
        <v>380</v>
      </c>
      <c r="E26" s="235" t="s">
        <v>381</v>
      </c>
      <c r="F26" s="235" t="s">
        <v>382</v>
      </c>
    </row>
    <row r="27" spans="2:6" x14ac:dyDescent="0.25">
      <c r="B27" s="235" t="s">
        <v>379</v>
      </c>
      <c r="C27" s="234">
        <v>0</v>
      </c>
      <c r="D27" s="233">
        <v>120</v>
      </c>
      <c r="E27" s="233">
        <v>87</v>
      </c>
      <c r="F27" s="233">
        <v>230</v>
      </c>
    </row>
    <row r="28" spans="2:6" x14ac:dyDescent="0.25">
      <c r="B28" s="235" t="s">
        <v>380</v>
      </c>
      <c r="C28" s="233">
        <v>120</v>
      </c>
      <c r="D28" s="234">
        <v>0</v>
      </c>
      <c r="E28" s="233">
        <v>207</v>
      </c>
      <c r="F28" s="233">
        <v>311</v>
      </c>
    </row>
    <row r="29" spans="2:6" x14ac:dyDescent="0.25">
      <c r="B29" s="235" t="s">
        <v>381</v>
      </c>
      <c r="C29" s="233">
        <v>87</v>
      </c>
      <c r="D29" s="233">
        <v>207</v>
      </c>
      <c r="E29" s="234">
        <v>0</v>
      </c>
      <c r="F29" s="233">
        <v>104</v>
      </c>
    </row>
    <row r="30" spans="2:6" x14ac:dyDescent="0.25">
      <c r="B30" s="235" t="s">
        <v>382</v>
      </c>
      <c r="C30" s="233">
        <v>203</v>
      </c>
      <c r="D30" s="233">
        <v>311</v>
      </c>
      <c r="E30" s="233">
        <v>104</v>
      </c>
      <c r="F30" s="234">
        <v>0</v>
      </c>
    </row>
    <row r="34" spans="2:6" x14ac:dyDescent="0.25">
      <c r="B34" t="s">
        <v>383</v>
      </c>
    </row>
    <row r="35" spans="2:6" x14ac:dyDescent="0.25">
      <c r="B35" t="s">
        <v>384</v>
      </c>
    </row>
    <row r="37" spans="2:6" x14ac:dyDescent="0.25">
      <c r="B37" t="s">
        <v>385</v>
      </c>
      <c r="C37" s="231"/>
    </row>
    <row r="38" spans="2:6" x14ac:dyDescent="0.25">
      <c r="B38" t="s">
        <v>386</v>
      </c>
      <c r="C38" s="231"/>
      <c r="E38" t="s">
        <v>390</v>
      </c>
      <c r="F38" s="232"/>
    </row>
    <row r="40" spans="2:6" x14ac:dyDescent="0.25">
      <c r="B40" s="235" t="s">
        <v>378</v>
      </c>
      <c r="C40" s="235" t="s">
        <v>51</v>
      </c>
      <c r="D40" s="235" t="s">
        <v>387</v>
      </c>
      <c r="E40" s="235" t="s">
        <v>388</v>
      </c>
      <c r="F40" s="235" t="s">
        <v>389</v>
      </c>
    </row>
    <row r="41" spans="2:6" x14ac:dyDescent="0.25">
      <c r="B41" s="235" t="s">
        <v>51</v>
      </c>
      <c r="C41" s="234">
        <v>0</v>
      </c>
      <c r="D41" s="233">
        <v>680</v>
      </c>
      <c r="E41" s="233">
        <v>400</v>
      </c>
      <c r="F41" s="233">
        <v>350</v>
      </c>
    </row>
    <row r="42" spans="2:6" x14ac:dyDescent="0.25">
      <c r="B42" s="235" t="s">
        <v>387</v>
      </c>
      <c r="C42" s="233">
        <v>680</v>
      </c>
      <c r="D42" s="234">
        <v>0</v>
      </c>
      <c r="E42" s="233">
        <v>380</v>
      </c>
      <c r="F42" s="233">
        <v>200</v>
      </c>
    </row>
    <row r="43" spans="2:6" x14ac:dyDescent="0.25">
      <c r="B43" s="235" t="s">
        <v>388</v>
      </c>
      <c r="C43" s="233">
        <v>400</v>
      </c>
      <c r="D43" s="233">
        <v>380</v>
      </c>
      <c r="E43" s="234">
        <v>0</v>
      </c>
      <c r="F43" s="233">
        <v>500</v>
      </c>
    </row>
    <row r="44" spans="2:6" x14ac:dyDescent="0.25">
      <c r="B44" s="235" t="s">
        <v>389</v>
      </c>
      <c r="C44" s="233">
        <v>350</v>
      </c>
      <c r="D44" s="233">
        <v>200</v>
      </c>
      <c r="E44" s="233">
        <v>500</v>
      </c>
      <c r="F44" s="234">
        <v>0</v>
      </c>
    </row>
  </sheetData>
  <phoneticPr fontId="13" type="noConversion"/>
  <dataValidations count="1">
    <dataValidation type="list" allowBlank="1" showInputMessage="1" showErrorMessage="1" sqref="C22:C23" xr:uid="{00000000-0002-0000-0B00-000000000000}">
      <formula1>$B$27:$B$30</formula1>
    </dataValidation>
  </dataValidations>
  <pageMargins left="0.75" right="0.75" top="1" bottom="1" header="0" footer="0"/>
  <pageSetup paperSize="9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6:J24"/>
  <sheetViews>
    <sheetView showGridLines="0" zoomScale="90" zoomScaleNormal="90" workbookViewId="0">
      <selection activeCell="D13" sqref="D13"/>
    </sheetView>
  </sheetViews>
  <sheetFormatPr baseColWidth="10" defaultRowHeight="13.2" x14ac:dyDescent="0.25"/>
  <cols>
    <col min="1" max="1" width="13.5546875" customWidth="1"/>
    <col min="2" max="2" width="17.5546875" customWidth="1"/>
    <col min="3" max="3" width="15" bestFit="1" customWidth="1"/>
    <col min="4" max="4" width="15.6640625" bestFit="1" customWidth="1"/>
    <col min="5" max="5" width="13.5546875" customWidth="1"/>
    <col min="6" max="6" width="13.88671875" bestFit="1" customWidth="1"/>
  </cols>
  <sheetData>
    <row r="6" spans="1:10" ht="16.2" thickBot="1" x14ac:dyDescent="0.35">
      <c r="A6" s="26" t="s">
        <v>10</v>
      </c>
      <c r="B6" s="29" t="s">
        <v>55</v>
      </c>
      <c r="C6" s="27"/>
      <c r="D6" s="1"/>
      <c r="E6" s="1"/>
      <c r="F6" s="1"/>
      <c r="G6" s="1"/>
      <c r="H6" s="1"/>
      <c r="I6" s="1"/>
      <c r="J6" s="1"/>
    </row>
    <row r="7" spans="1:10" ht="24.6" thickBot="1" x14ac:dyDescent="0.3">
      <c r="A7" s="47" t="s">
        <v>11</v>
      </c>
      <c r="B7" s="48" t="s">
        <v>12</v>
      </c>
      <c r="C7" s="48" t="s">
        <v>13</v>
      </c>
      <c r="D7" s="48" t="s">
        <v>14</v>
      </c>
      <c r="E7" s="48" t="s">
        <v>15</v>
      </c>
      <c r="F7" s="48" t="s">
        <v>16</v>
      </c>
      <c r="G7" s="49" t="s">
        <v>17</v>
      </c>
      <c r="H7" s="50" t="s">
        <v>18</v>
      </c>
      <c r="I7" s="1"/>
      <c r="J7" s="1"/>
    </row>
    <row r="8" spans="1:10" x14ac:dyDescent="0.25">
      <c r="A8" s="12">
        <v>531200</v>
      </c>
      <c r="B8" s="30">
        <v>108702654</v>
      </c>
      <c r="C8" s="38" t="s">
        <v>19</v>
      </c>
      <c r="D8" s="38" t="s">
        <v>20</v>
      </c>
      <c r="E8" s="13">
        <v>5</v>
      </c>
      <c r="F8" s="44">
        <v>500000</v>
      </c>
      <c r="G8" s="14">
        <v>0.12</v>
      </c>
      <c r="H8" s="43">
        <v>6</v>
      </c>
      <c r="I8" s="1"/>
      <c r="J8" s="28"/>
    </row>
    <row r="9" spans="1:10" x14ac:dyDescent="0.25">
      <c r="A9" s="15">
        <v>531201</v>
      </c>
      <c r="B9" s="30">
        <v>66229096</v>
      </c>
      <c r="C9" s="40" t="s">
        <v>21</v>
      </c>
      <c r="D9" s="40" t="s">
        <v>22</v>
      </c>
      <c r="E9" s="16" t="s">
        <v>23</v>
      </c>
      <c r="F9" s="45">
        <v>1200000</v>
      </c>
      <c r="G9" s="17">
        <v>0.15</v>
      </c>
      <c r="H9" s="41">
        <v>12</v>
      </c>
      <c r="I9" s="1"/>
      <c r="J9" s="1"/>
    </row>
    <row r="10" spans="1:10" x14ac:dyDescent="0.25">
      <c r="A10" s="15">
        <v>531242</v>
      </c>
      <c r="B10" s="30">
        <v>116916414</v>
      </c>
      <c r="C10" s="40" t="s">
        <v>24</v>
      </c>
      <c r="D10" s="40" t="s">
        <v>25</v>
      </c>
      <c r="E10" s="16">
        <v>6</v>
      </c>
      <c r="F10" s="45">
        <v>9000000</v>
      </c>
      <c r="G10" s="17">
        <v>0.33</v>
      </c>
      <c r="H10" s="41">
        <v>24</v>
      </c>
      <c r="I10" s="1"/>
      <c r="J10" s="1"/>
    </row>
    <row r="11" spans="1:10" x14ac:dyDescent="0.25">
      <c r="A11" s="15">
        <v>531243</v>
      </c>
      <c r="B11" s="30">
        <v>149774154</v>
      </c>
      <c r="C11" s="40" t="s">
        <v>76</v>
      </c>
      <c r="D11" s="40" t="s">
        <v>83</v>
      </c>
      <c r="E11" s="16" t="s">
        <v>23</v>
      </c>
      <c r="F11" s="45">
        <v>9000000</v>
      </c>
      <c r="G11" s="17">
        <v>0.51</v>
      </c>
      <c r="H11" s="41">
        <v>24</v>
      </c>
      <c r="I11" s="1"/>
      <c r="J11" s="1"/>
    </row>
    <row r="12" spans="1:10" x14ac:dyDescent="0.25">
      <c r="A12" s="15">
        <v>531244</v>
      </c>
      <c r="B12" s="30">
        <v>167557869</v>
      </c>
      <c r="C12" s="40" t="s">
        <v>77</v>
      </c>
      <c r="D12" s="40" t="s">
        <v>84</v>
      </c>
      <c r="E12" s="16">
        <v>6</v>
      </c>
      <c r="F12" s="45">
        <v>9000000</v>
      </c>
      <c r="G12" s="17">
        <v>0.69</v>
      </c>
      <c r="H12" s="41">
        <v>6</v>
      </c>
      <c r="I12" s="1"/>
      <c r="J12" s="1"/>
    </row>
    <row r="13" spans="1:10" x14ac:dyDescent="0.25">
      <c r="A13" s="15">
        <v>531245</v>
      </c>
      <c r="B13" s="30">
        <v>106788123</v>
      </c>
      <c r="C13" s="40" t="s">
        <v>78</v>
      </c>
      <c r="D13" s="40" t="s">
        <v>85</v>
      </c>
      <c r="E13" s="16" t="s">
        <v>23</v>
      </c>
      <c r="F13" s="45">
        <v>9000000</v>
      </c>
      <c r="G13" s="17">
        <v>0.12</v>
      </c>
      <c r="H13" s="41">
        <v>12</v>
      </c>
      <c r="I13" s="1"/>
      <c r="J13" s="1"/>
    </row>
    <row r="14" spans="1:10" x14ac:dyDescent="0.25">
      <c r="A14" s="15">
        <v>531246</v>
      </c>
      <c r="B14" s="30">
        <v>95632695</v>
      </c>
      <c r="C14" s="40" t="s">
        <v>79</v>
      </c>
      <c r="D14" s="40" t="s">
        <v>86</v>
      </c>
      <c r="E14" s="16">
        <v>6</v>
      </c>
      <c r="F14" s="45">
        <v>9000000</v>
      </c>
      <c r="G14" s="17">
        <v>0.31</v>
      </c>
      <c r="H14" s="41">
        <v>6</v>
      </c>
      <c r="I14" s="1"/>
      <c r="J14" s="1"/>
    </row>
    <row r="15" spans="1:10" x14ac:dyDescent="0.25">
      <c r="A15" s="15">
        <v>531247</v>
      </c>
      <c r="B15" s="30">
        <v>86531541</v>
      </c>
      <c r="C15" s="40" t="s">
        <v>80</v>
      </c>
      <c r="D15" s="40" t="s">
        <v>87</v>
      </c>
      <c r="E15" s="16" t="s">
        <v>23</v>
      </c>
      <c r="F15" s="45">
        <v>9000000</v>
      </c>
      <c r="G15" s="17">
        <v>0.13200000000000001</v>
      </c>
      <c r="H15" s="41">
        <v>6</v>
      </c>
      <c r="I15" s="1"/>
      <c r="J15" s="1"/>
    </row>
    <row r="16" spans="1:10" x14ac:dyDescent="0.25">
      <c r="A16" s="15">
        <v>531248</v>
      </c>
      <c r="B16" s="30">
        <v>38010377</v>
      </c>
      <c r="C16" s="40" t="s">
        <v>81</v>
      </c>
      <c r="D16" s="40" t="s">
        <v>88</v>
      </c>
      <c r="E16" s="16">
        <v>5</v>
      </c>
      <c r="F16" s="45">
        <v>9000000</v>
      </c>
      <c r="G16" s="17">
        <v>0.22</v>
      </c>
      <c r="H16" s="41">
        <v>12</v>
      </c>
      <c r="I16" s="1"/>
      <c r="J16" s="1"/>
    </row>
    <row r="17" spans="1:10" ht="13.8" thickBot="1" x14ac:dyDescent="0.3">
      <c r="A17" s="18">
        <v>531249</v>
      </c>
      <c r="B17" s="102">
        <v>48010377</v>
      </c>
      <c r="C17" s="39" t="s">
        <v>82</v>
      </c>
      <c r="D17" s="39" t="s">
        <v>89</v>
      </c>
      <c r="E17" s="19">
        <v>6</v>
      </c>
      <c r="F17" s="46">
        <v>9000000</v>
      </c>
      <c r="G17" s="20">
        <v>0.28999999999999998</v>
      </c>
      <c r="H17" s="42">
        <v>24</v>
      </c>
      <c r="I17" s="1"/>
      <c r="J17" s="1"/>
    </row>
    <row r="18" spans="1:10" x14ac:dyDescent="0.25">
      <c r="A18" s="1"/>
      <c r="B18" s="1"/>
      <c r="C18" s="1"/>
      <c r="F18" s="1"/>
      <c r="G18" s="1"/>
      <c r="H18" s="1"/>
      <c r="I18" s="1"/>
      <c r="J18" s="1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</row>
  </sheetData>
  <phoneticPr fontId="13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J12"/>
  <sheetViews>
    <sheetView showGridLines="0" workbookViewId="0">
      <selection activeCell="B5" sqref="B5"/>
    </sheetView>
  </sheetViews>
  <sheetFormatPr baseColWidth="10" defaultRowHeight="13.2" x14ac:dyDescent="0.25"/>
  <cols>
    <col min="1" max="1" width="19.109375" customWidth="1"/>
    <col min="2" max="2" width="16.88671875" customWidth="1"/>
    <col min="3" max="3" width="15" bestFit="1" customWidth="1"/>
    <col min="4" max="4" width="15.6640625" bestFit="1" customWidth="1"/>
    <col min="5" max="5" width="13.5546875" customWidth="1"/>
    <col min="6" max="6" width="13.88671875" bestFit="1" customWidth="1"/>
  </cols>
  <sheetData>
    <row r="1" spans="1:10" ht="60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3.8" thickBot="1" x14ac:dyDescent="0.3">
      <c r="A2" s="1"/>
      <c r="B2" s="1"/>
      <c r="C2" s="1"/>
      <c r="D2" s="28"/>
      <c r="E2" s="1"/>
      <c r="F2" s="1"/>
      <c r="G2" s="1"/>
      <c r="H2" s="1"/>
      <c r="I2" s="1"/>
      <c r="J2" s="1"/>
    </row>
    <row r="3" spans="1:10" ht="13.8" thickBot="1" x14ac:dyDescent="0.3">
      <c r="A3" s="21" t="s">
        <v>11</v>
      </c>
      <c r="B3" s="9">
        <v>531201</v>
      </c>
      <c r="C3" s="1"/>
      <c r="D3" s="1"/>
      <c r="E3" s="1"/>
      <c r="F3" s="1"/>
      <c r="G3" s="1"/>
      <c r="H3" s="1"/>
      <c r="I3" s="1"/>
      <c r="J3" s="1"/>
    </row>
    <row r="4" spans="1:10" ht="13.8" thickBot="1" x14ac:dyDescent="0.3">
      <c r="D4" s="1"/>
      <c r="E4" s="1"/>
      <c r="J4" s="1"/>
    </row>
    <row r="5" spans="1:10" ht="13.8" thickBot="1" x14ac:dyDescent="0.3">
      <c r="A5" s="66" t="s">
        <v>12</v>
      </c>
      <c r="B5" s="67">
        <f>VLOOKUP(B3,VISA,2,FALSE)</f>
        <v>66229096</v>
      </c>
      <c r="D5" s="1"/>
      <c r="E5" s="1"/>
      <c r="J5" s="1"/>
    </row>
    <row r="6" spans="1:10" ht="14.25" customHeight="1" thickBot="1" x14ac:dyDescent="0.3">
      <c r="A6" s="66" t="s">
        <v>13</v>
      </c>
      <c r="B6" s="67" t="str">
        <f>VLOOKUP($B$3,VISA,3,FALSE)</f>
        <v>Juan Gonzalez</v>
      </c>
      <c r="D6" s="1"/>
      <c r="E6" s="1"/>
      <c r="J6" s="1"/>
    </row>
    <row r="7" spans="1:10" ht="13.8" thickBot="1" x14ac:dyDescent="0.3">
      <c r="A7" s="66" t="s">
        <v>14</v>
      </c>
      <c r="B7" s="67" t="str">
        <f>VLOOKUP($B$3,VISA,4,FALSE)</f>
        <v>Av Tome 041b</v>
      </c>
      <c r="C7" s="1"/>
      <c r="D7" s="1"/>
      <c r="E7" s="1"/>
      <c r="F7" s="1"/>
      <c r="G7" s="1"/>
    </row>
    <row r="8" spans="1:10" ht="13.8" thickBot="1" x14ac:dyDescent="0.3">
      <c r="A8" s="66" t="s">
        <v>15</v>
      </c>
      <c r="B8" s="67" t="str">
        <f>VLOOKUP($B$3,VISA,5,FALSE)</f>
        <v>RM</v>
      </c>
      <c r="C8" s="1"/>
      <c r="D8" s="1"/>
      <c r="E8" s="1"/>
      <c r="F8" s="1"/>
      <c r="G8" s="1"/>
    </row>
    <row r="9" spans="1:10" ht="13.8" thickBot="1" x14ac:dyDescent="0.3">
      <c r="A9" s="66" t="s">
        <v>16</v>
      </c>
      <c r="B9" s="67">
        <f>VLOOKUP($B$3,VISA,6,FALSE)</f>
        <v>1200000</v>
      </c>
      <c r="G9" s="1"/>
      <c r="H9" s="1"/>
      <c r="I9" s="1"/>
      <c r="J9" s="1"/>
    </row>
    <row r="10" spans="1:10" ht="13.8" thickBot="1" x14ac:dyDescent="0.3">
      <c r="A10" s="66" t="s">
        <v>17</v>
      </c>
      <c r="B10" s="67">
        <f>VLOOKUP($B$3,VISA,7,FALSE)</f>
        <v>0.15</v>
      </c>
      <c r="I10" s="1"/>
      <c r="J10" s="1"/>
    </row>
    <row r="11" spans="1:10" ht="13.8" thickBot="1" x14ac:dyDescent="0.3">
      <c r="A11" s="66" t="s">
        <v>18</v>
      </c>
      <c r="B11" s="262">
        <f>VLOOKUP($B$3,VISA,8,FALSE)</f>
        <v>12</v>
      </c>
      <c r="I11" s="1"/>
      <c r="J11" s="1"/>
    </row>
    <row r="12" spans="1:10" x14ac:dyDescent="0.25">
      <c r="A12" s="1"/>
      <c r="B12" s="263"/>
      <c r="C12" s="1"/>
      <c r="D12" s="1"/>
      <c r="E12" s="1"/>
      <c r="F12" s="1"/>
      <c r="G12" s="1"/>
      <c r="H12" s="1"/>
      <c r="I12" s="1"/>
      <c r="J12" s="1"/>
    </row>
  </sheetData>
  <phoneticPr fontId="0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M46"/>
  <sheetViews>
    <sheetView zoomScale="80" zoomScaleNormal="80" workbookViewId="0">
      <selection activeCell="O27" sqref="O27"/>
    </sheetView>
  </sheetViews>
  <sheetFormatPr baseColWidth="10" defaultColWidth="11.44140625" defaultRowHeight="13.8" x14ac:dyDescent="0.25"/>
  <cols>
    <col min="1" max="1" width="6.6640625" style="113" customWidth="1"/>
    <col min="2" max="2" width="18.109375" style="113" customWidth="1"/>
    <col min="3" max="3" width="16.6640625" style="113" bestFit="1" customWidth="1"/>
    <col min="4" max="4" width="13.5546875" style="113" bestFit="1" customWidth="1"/>
    <col min="5" max="5" width="18.5546875" style="113" customWidth="1"/>
    <col min="6" max="6" width="11.44140625" style="113"/>
    <col min="7" max="7" width="12.44140625" style="113" bestFit="1" customWidth="1"/>
    <col min="8" max="8" width="14" style="113" bestFit="1" customWidth="1"/>
    <col min="9" max="9" width="15.5546875" style="113" customWidth="1"/>
    <col min="10" max="10" width="12.44140625" style="113" bestFit="1" customWidth="1"/>
    <col min="11" max="11" width="11.44140625" style="113"/>
    <col min="12" max="12" width="12.5546875" style="113" bestFit="1" customWidth="1"/>
    <col min="13" max="13" width="13.5546875" style="113" bestFit="1" customWidth="1"/>
    <col min="14" max="14" width="11.44140625" style="113"/>
    <col min="15" max="15" width="12.33203125" style="113" customWidth="1"/>
    <col min="16" max="16384" width="11.44140625" style="113"/>
  </cols>
  <sheetData>
    <row r="1" spans="1:13" ht="30.6" thickBot="1" x14ac:dyDescent="0.55000000000000004">
      <c r="B1" s="277" t="s">
        <v>251</v>
      </c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</row>
    <row r="2" spans="1:13" x14ac:dyDescent="0.25">
      <c r="A2" s="264" t="s">
        <v>252</v>
      </c>
      <c r="B2" s="264" t="s">
        <v>253</v>
      </c>
      <c r="C2" s="264" t="s">
        <v>254</v>
      </c>
      <c r="D2" s="264" t="s">
        <v>238</v>
      </c>
      <c r="E2" s="264" t="s">
        <v>255</v>
      </c>
      <c r="F2" s="264" t="s">
        <v>256</v>
      </c>
      <c r="G2" s="264" t="s">
        <v>257</v>
      </c>
      <c r="H2" s="264" t="s">
        <v>258</v>
      </c>
      <c r="I2" s="264" t="s">
        <v>259</v>
      </c>
      <c r="J2" s="264" t="s">
        <v>260</v>
      </c>
      <c r="K2" s="264" t="s">
        <v>261</v>
      </c>
      <c r="L2" s="264" t="s">
        <v>262</v>
      </c>
      <c r="M2" s="265" t="s">
        <v>263</v>
      </c>
    </row>
    <row r="3" spans="1:13" x14ac:dyDescent="0.25">
      <c r="A3" s="266">
        <v>1</v>
      </c>
      <c r="B3" s="267" t="s">
        <v>264</v>
      </c>
      <c r="C3" s="267" t="s">
        <v>245</v>
      </c>
      <c r="D3" s="268">
        <v>360000</v>
      </c>
      <c r="E3" s="269">
        <f>D3*0.25</f>
        <v>90000</v>
      </c>
      <c r="F3" s="266">
        <v>20</v>
      </c>
      <c r="G3" s="270">
        <f>F3*3000</f>
        <v>60000</v>
      </c>
      <c r="H3" s="269">
        <f>D3+E3+G3</f>
        <v>510000</v>
      </c>
      <c r="I3" s="268">
        <v>18000</v>
      </c>
      <c r="J3" s="269">
        <f>D3*0.1523</f>
        <v>54828</v>
      </c>
      <c r="K3" s="268">
        <v>35000</v>
      </c>
      <c r="L3" s="269">
        <f>H3*0.21</f>
        <v>107100</v>
      </c>
      <c r="M3" s="271">
        <f>H3+I3+J3-K3-L3</f>
        <v>440728</v>
      </c>
    </row>
    <row r="4" spans="1:13" x14ac:dyDescent="0.25">
      <c r="A4" s="266">
        <v>2</v>
      </c>
      <c r="B4" s="267" t="s">
        <v>265</v>
      </c>
      <c r="C4" s="267" t="s">
        <v>242</v>
      </c>
      <c r="D4" s="268">
        <v>561000</v>
      </c>
      <c r="E4" s="269">
        <f t="shared" ref="E4:E26" si="0">D4*0.25</f>
        <v>140250</v>
      </c>
      <c r="F4" s="266">
        <v>12</v>
      </c>
      <c r="G4" s="270">
        <f t="shared" ref="G4:G26" si="1">F4*3000</f>
        <v>36000</v>
      </c>
      <c r="H4" s="269">
        <f t="shared" ref="H4:H26" si="2">D4+E4+G4</f>
        <v>737250</v>
      </c>
      <c r="I4" s="268">
        <v>16000</v>
      </c>
      <c r="J4" s="269">
        <f t="shared" ref="J4:J26" si="3">D4*0.1523</f>
        <v>85440.299999999988</v>
      </c>
      <c r="K4" s="268">
        <v>25000</v>
      </c>
      <c r="L4" s="269">
        <f t="shared" ref="L4:L26" si="4">H4*0.21</f>
        <v>154822.5</v>
      </c>
      <c r="M4" s="271">
        <f t="shared" ref="M4:M26" si="5">H4+I4+J4-K4-L4</f>
        <v>658867.80000000005</v>
      </c>
    </row>
    <row r="5" spans="1:13" x14ac:dyDescent="0.25">
      <c r="A5" s="266">
        <v>3</v>
      </c>
      <c r="B5" s="267" t="s">
        <v>266</v>
      </c>
      <c r="C5" s="267" t="s">
        <v>240</v>
      </c>
      <c r="D5" s="268">
        <v>720000</v>
      </c>
      <c r="E5" s="269">
        <f t="shared" si="0"/>
        <v>180000</v>
      </c>
      <c r="F5" s="266">
        <v>18</v>
      </c>
      <c r="G5" s="270">
        <f t="shared" si="1"/>
        <v>54000</v>
      </c>
      <c r="H5" s="269">
        <f t="shared" si="2"/>
        <v>954000</v>
      </c>
      <c r="I5" s="268">
        <v>15000</v>
      </c>
      <c r="J5" s="269">
        <f t="shared" si="3"/>
        <v>109656</v>
      </c>
      <c r="K5" s="268">
        <v>35000</v>
      </c>
      <c r="L5" s="269">
        <f t="shared" si="4"/>
        <v>200340</v>
      </c>
      <c r="M5" s="271">
        <f t="shared" si="5"/>
        <v>843316</v>
      </c>
    </row>
    <row r="6" spans="1:13" x14ac:dyDescent="0.25">
      <c r="A6" s="266">
        <v>4</v>
      </c>
      <c r="B6" s="267" t="s">
        <v>267</v>
      </c>
      <c r="C6" s="267" t="s">
        <v>245</v>
      </c>
      <c r="D6" s="268">
        <v>360000</v>
      </c>
      <c r="E6" s="269">
        <f t="shared" si="0"/>
        <v>90000</v>
      </c>
      <c r="F6" s="266">
        <v>14</v>
      </c>
      <c r="G6" s="270">
        <f t="shared" si="1"/>
        <v>42000</v>
      </c>
      <c r="H6" s="269">
        <f t="shared" si="2"/>
        <v>492000</v>
      </c>
      <c r="I6" s="268">
        <v>19000</v>
      </c>
      <c r="J6" s="269">
        <f t="shared" si="3"/>
        <v>54828</v>
      </c>
      <c r="K6" s="268">
        <v>25000</v>
      </c>
      <c r="L6" s="269">
        <f t="shared" si="4"/>
        <v>103320</v>
      </c>
      <c r="M6" s="271">
        <f t="shared" si="5"/>
        <v>437508</v>
      </c>
    </row>
    <row r="7" spans="1:13" x14ac:dyDescent="0.25">
      <c r="A7" s="266">
        <v>5</v>
      </c>
      <c r="B7" s="267" t="s">
        <v>268</v>
      </c>
      <c r="C7" s="267" t="s">
        <v>242</v>
      </c>
      <c r="D7" s="272">
        <v>360000</v>
      </c>
      <c r="E7" s="269">
        <f t="shared" si="0"/>
        <v>90000</v>
      </c>
      <c r="F7" s="266">
        <v>13</v>
      </c>
      <c r="G7" s="270">
        <f t="shared" si="1"/>
        <v>39000</v>
      </c>
      <c r="H7" s="269">
        <f t="shared" si="2"/>
        <v>489000</v>
      </c>
      <c r="I7" s="268">
        <v>15000</v>
      </c>
      <c r="J7" s="269">
        <f t="shared" si="3"/>
        <v>54828</v>
      </c>
      <c r="K7" s="272">
        <v>35000</v>
      </c>
      <c r="L7" s="269">
        <f t="shared" si="4"/>
        <v>102690</v>
      </c>
      <c r="M7" s="271">
        <f t="shared" si="5"/>
        <v>421138</v>
      </c>
    </row>
    <row r="8" spans="1:13" x14ac:dyDescent="0.25">
      <c r="A8" s="266">
        <v>6</v>
      </c>
      <c r="B8" s="267" t="s">
        <v>269</v>
      </c>
      <c r="C8" s="267" t="s">
        <v>247</v>
      </c>
      <c r="D8" s="272">
        <v>360000</v>
      </c>
      <c r="E8" s="269">
        <f t="shared" si="0"/>
        <v>90000</v>
      </c>
      <c r="F8" s="266">
        <v>16</v>
      </c>
      <c r="G8" s="270">
        <f t="shared" si="1"/>
        <v>48000</v>
      </c>
      <c r="H8" s="269">
        <f t="shared" si="2"/>
        <v>498000</v>
      </c>
      <c r="I8" s="268">
        <v>19000</v>
      </c>
      <c r="J8" s="269">
        <f t="shared" si="3"/>
        <v>54828</v>
      </c>
      <c r="K8" s="272">
        <v>35000</v>
      </c>
      <c r="L8" s="269">
        <f t="shared" si="4"/>
        <v>104580</v>
      </c>
      <c r="M8" s="271">
        <f t="shared" si="5"/>
        <v>432248</v>
      </c>
    </row>
    <row r="9" spans="1:13" x14ac:dyDescent="0.25">
      <c r="A9" s="266">
        <v>7</v>
      </c>
      <c r="B9" s="267" t="s">
        <v>270</v>
      </c>
      <c r="C9" s="267" t="s">
        <v>245</v>
      </c>
      <c r="D9" s="268">
        <v>350000</v>
      </c>
      <c r="E9" s="269">
        <f t="shared" si="0"/>
        <v>87500</v>
      </c>
      <c r="F9" s="266">
        <v>15</v>
      </c>
      <c r="G9" s="270">
        <f t="shared" si="1"/>
        <v>45000</v>
      </c>
      <c r="H9" s="269">
        <f t="shared" si="2"/>
        <v>482500</v>
      </c>
      <c r="I9" s="268">
        <v>15000</v>
      </c>
      <c r="J9" s="269">
        <f t="shared" si="3"/>
        <v>53305</v>
      </c>
      <c r="K9" s="268">
        <v>38000</v>
      </c>
      <c r="L9" s="269">
        <f t="shared" si="4"/>
        <v>101325</v>
      </c>
      <c r="M9" s="271">
        <f t="shared" si="5"/>
        <v>411480</v>
      </c>
    </row>
    <row r="10" spans="1:13" x14ac:dyDescent="0.25">
      <c r="A10" s="266">
        <v>8</v>
      </c>
      <c r="B10" s="267" t="s">
        <v>271</v>
      </c>
      <c r="C10" s="267" t="s">
        <v>242</v>
      </c>
      <c r="D10" s="268">
        <v>220000</v>
      </c>
      <c r="E10" s="269">
        <f t="shared" si="0"/>
        <v>55000</v>
      </c>
      <c r="F10" s="266">
        <v>18</v>
      </c>
      <c r="G10" s="270">
        <f t="shared" si="1"/>
        <v>54000</v>
      </c>
      <c r="H10" s="269">
        <f t="shared" si="2"/>
        <v>329000</v>
      </c>
      <c r="I10" s="268">
        <v>18000</v>
      </c>
      <c r="J10" s="269">
        <f t="shared" si="3"/>
        <v>33506</v>
      </c>
      <c r="K10" s="268">
        <v>25000</v>
      </c>
      <c r="L10" s="269">
        <f t="shared" si="4"/>
        <v>69090</v>
      </c>
      <c r="M10" s="271">
        <f t="shared" si="5"/>
        <v>286416</v>
      </c>
    </row>
    <row r="11" spans="1:13" x14ac:dyDescent="0.25">
      <c r="A11" s="266">
        <v>9</v>
      </c>
      <c r="B11" s="267" t="s">
        <v>272</v>
      </c>
      <c r="C11" s="267" t="s">
        <v>240</v>
      </c>
      <c r="D11" s="268">
        <v>260000</v>
      </c>
      <c r="E11" s="269">
        <f t="shared" si="0"/>
        <v>65000</v>
      </c>
      <c r="F11" s="266">
        <v>16</v>
      </c>
      <c r="G11" s="270">
        <f t="shared" si="1"/>
        <v>48000</v>
      </c>
      <c r="H11" s="269">
        <f t="shared" si="2"/>
        <v>373000</v>
      </c>
      <c r="I11" s="268">
        <v>16000</v>
      </c>
      <c r="J11" s="269">
        <f t="shared" si="3"/>
        <v>39598</v>
      </c>
      <c r="K11" s="268">
        <v>34000</v>
      </c>
      <c r="L11" s="269">
        <f t="shared" si="4"/>
        <v>78330</v>
      </c>
      <c r="M11" s="271">
        <f t="shared" si="5"/>
        <v>316268</v>
      </c>
    </row>
    <row r="12" spans="1:13" x14ac:dyDescent="0.25">
      <c r="A12" s="266">
        <v>10</v>
      </c>
      <c r="B12" s="267" t="s">
        <v>273</v>
      </c>
      <c r="C12" s="267" t="s">
        <v>245</v>
      </c>
      <c r="D12" s="268">
        <v>250000</v>
      </c>
      <c r="E12" s="269">
        <f t="shared" si="0"/>
        <v>62500</v>
      </c>
      <c r="F12" s="266">
        <v>13</v>
      </c>
      <c r="G12" s="270">
        <f t="shared" si="1"/>
        <v>39000</v>
      </c>
      <c r="H12" s="269">
        <f t="shared" si="2"/>
        <v>351500</v>
      </c>
      <c r="I12" s="268">
        <v>16000</v>
      </c>
      <c r="J12" s="269">
        <f t="shared" si="3"/>
        <v>38075</v>
      </c>
      <c r="K12" s="268">
        <v>36000</v>
      </c>
      <c r="L12" s="269">
        <f t="shared" si="4"/>
        <v>73815</v>
      </c>
      <c r="M12" s="271">
        <f t="shared" si="5"/>
        <v>295760</v>
      </c>
    </row>
    <row r="13" spans="1:13" x14ac:dyDescent="0.25">
      <c r="A13" s="266">
        <v>11</v>
      </c>
      <c r="B13" s="267" t="s">
        <v>274</v>
      </c>
      <c r="C13" s="267" t="s">
        <v>242</v>
      </c>
      <c r="D13" s="268">
        <v>300000</v>
      </c>
      <c r="E13" s="269">
        <f t="shared" si="0"/>
        <v>75000</v>
      </c>
      <c r="F13" s="266">
        <v>12</v>
      </c>
      <c r="G13" s="270">
        <f t="shared" si="1"/>
        <v>36000</v>
      </c>
      <c r="H13" s="269">
        <f t="shared" si="2"/>
        <v>411000</v>
      </c>
      <c r="I13" s="268">
        <v>18000</v>
      </c>
      <c r="J13" s="269">
        <f t="shared" si="3"/>
        <v>45690</v>
      </c>
      <c r="K13" s="268">
        <v>35000</v>
      </c>
      <c r="L13" s="269">
        <f t="shared" si="4"/>
        <v>86310</v>
      </c>
      <c r="M13" s="271">
        <f t="shared" si="5"/>
        <v>353380</v>
      </c>
    </row>
    <row r="14" spans="1:13" x14ac:dyDescent="0.25">
      <c r="A14" s="266">
        <v>12</v>
      </c>
      <c r="B14" s="267" t="s">
        <v>275</v>
      </c>
      <c r="C14" s="267" t="s">
        <v>240</v>
      </c>
      <c r="D14" s="268">
        <v>450000</v>
      </c>
      <c r="E14" s="269">
        <f t="shared" si="0"/>
        <v>112500</v>
      </c>
      <c r="F14" s="266">
        <v>19</v>
      </c>
      <c r="G14" s="270">
        <f t="shared" si="1"/>
        <v>57000</v>
      </c>
      <c r="H14" s="269">
        <f t="shared" si="2"/>
        <v>619500</v>
      </c>
      <c r="I14" s="268">
        <v>19000</v>
      </c>
      <c r="J14" s="269">
        <f t="shared" si="3"/>
        <v>68535</v>
      </c>
      <c r="K14" s="268">
        <v>12000</v>
      </c>
      <c r="L14" s="269">
        <f t="shared" si="4"/>
        <v>130095</v>
      </c>
      <c r="M14" s="271">
        <f t="shared" si="5"/>
        <v>564940</v>
      </c>
    </row>
    <row r="15" spans="1:13" x14ac:dyDescent="0.25">
      <c r="A15" s="266">
        <v>13</v>
      </c>
      <c r="B15" s="267" t="s">
        <v>276</v>
      </c>
      <c r="C15" s="267" t="s">
        <v>247</v>
      </c>
      <c r="D15" s="268">
        <v>508000</v>
      </c>
      <c r="E15" s="269">
        <f t="shared" si="0"/>
        <v>127000</v>
      </c>
      <c r="F15" s="266">
        <v>13</v>
      </c>
      <c r="G15" s="270">
        <f t="shared" si="1"/>
        <v>39000</v>
      </c>
      <c r="H15" s="269">
        <f t="shared" si="2"/>
        <v>674000</v>
      </c>
      <c r="I15" s="268">
        <v>15000</v>
      </c>
      <c r="J15" s="269">
        <f t="shared" si="3"/>
        <v>77368.399999999994</v>
      </c>
      <c r="K15" s="268">
        <v>35000</v>
      </c>
      <c r="L15" s="269">
        <f t="shared" si="4"/>
        <v>141540</v>
      </c>
      <c r="M15" s="271">
        <f t="shared" si="5"/>
        <v>589828.4</v>
      </c>
    </row>
    <row r="16" spans="1:13" x14ac:dyDescent="0.25">
      <c r="A16" s="266">
        <v>14</v>
      </c>
      <c r="B16" s="267" t="s">
        <v>277</v>
      </c>
      <c r="C16" s="267" t="s">
        <v>242</v>
      </c>
      <c r="D16" s="268">
        <v>667000</v>
      </c>
      <c r="E16" s="269">
        <f t="shared" si="0"/>
        <v>166750</v>
      </c>
      <c r="F16" s="266">
        <v>16</v>
      </c>
      <c r="G16" s="270">
        <f t="shared" si="1"/>
        <v>48000</v>
      </c>
      <c r="H16" s="269">
        <f t="shared" si="2"/>
        <v>881750</v>
      </c>
      <c r="I16" s="268">
        <v>19000</v>
      </c>
      <c r="J16" s="269">
        <f t="shared" si="3"/>
        <v>101584.09999999999</v>
      </c>
      <c r="K16" s="268">
        <v>25000</v>
      </c>
      <c r="L16" s="269">
        <f t="shared" si="4"/>
        <v>185167.5</v>
      </c>
      <c r="M16" s="271">
        <f t="shared" si="5"/>
        <v>792166.6</v>
      </c>
    </row>
    <row r="17" spans="1:13" x14ac:dyDescent="0.25">
      <c r="A17" s="266">
        <v>15</v>
      </c>
      <c r="B17" s="267" t="s">
        <v>278</v>
      </c>
      <c r="C17" s="267" t="s">
        <v>240</v>
      </c>
      <c r="D17" s="268">
        <v>826000</v>
      </c>
      <c r="E17" s="269">
        <f t="shared" si="0"/>
        <v>206500</v>
      </c>
      <c r="F17" s="266">
        <v>12</v>
      </c>
      <c r="G17" s="270">
        <f t="shared" si="1"/>
        <v>36000</v>
      </c>
      <c r="H17" s="269">
        <f t="shared" si="2"/>
        <v>1068500</v>
      </c>
      <c r="I17" s="268">
        <v>18000</v>
      </c>
      <c r="J17" s="269">
        <f t="shared" si="3"/>
        <v>125799.79999999999</v>
      </c>
      <c r="K17" s="268">
        <v>34000</v>
      </c>
      <c r="L17" s="269">
        <f t="shared" si="4"/>
        <v>224385</v>
      </c>
      <c r="M17" s="271">
        <f t="shared" si="5"/>
        <v>953914.8</v>
      </c>
    </row>
    <row r="18" spans="1:13" x14ac:dyDescent="0.25">
      <c r="A18" s="266">
        <v>16</v>
      </c>
      <c r="B18" s="267" t="s">
        <v>279</v>
      </c>
      <c r="C18" s="267" t="s">
        <v>245</v>
      </c>
      <c r="D18" s="272">
        <v>826000</v>
      </c>
      <c r="E18" s="269">
        <f t="shared" si="0"/>
        <v>206500</v>
      </c>
      <c r="F18" s="266">
        <v>18</v>
      </c>
      <c r="G18" s="270">
        <f t="shared" si="1"/>
        <v>54000</v>
      </c>
      <c r="H18" s="269">
        <f t="shared" si="2"/>
        <v>1086500</v>
      </c>
      <c r="I18" s="268">
        <v>16000</v>
      </c>
      <c r="J18" s="269">
        <f t="shared" si="3"/>
        <v>125799.79999999999</v>
      </c>
      <c r="K18" s="272">
        <v>25000</v>
      </c>
      <c r="L18" s="269">
        <f t="shared" si="4"/>
        <v>228165</v>
      </c>
      <c r="M18" s="271">
        <f t="shared" si="5"/>
        <v>975134.8</v>
      </c>
    </row>
    <row r="19" spans="1:13" x14ac:dyDescent="0.25">
      <c r="A19" s="266">
        <v>17</v>
      </c>
      <c r="B19" s="267" t="s">
        <v>280</v>
      </c>
      <c r="C19" s="267" t="s">
        <v>247</v>
      </c>
      <c r="D19" s="272">
        <v>826000</v>
      </c>
      <c r="E19" s="269">
        <f t="shared" si="0"/>
        <v>206500</v>
      </c>
      <c r="F19" s="266">
        <v>14</v>
      </c>
      <c r="G19" s="270">
        <f t="shared" si="1"/>
        <v>42000</v>
      </c>
      <c r="H19" s="269">
        <f t="shared" si="2"/>
        <v>1074500</v>
      </c>
      <c r="I19" s="268">
        <v>18000</v>
      </c>
      <c r="J19" s="269">
        <f t="shared" si="3"/>
        <v>125799.79999999999</v>
      </c>
      <c r="K19" s="272">
        <v>25000</v>
      </c>
      <c r="L19" s="269">
        <f t="shared" si="4"/>
        <v>225645</v>
      </c>
      <c r="M19" s="271">
        <f t="shared" si="5"/>
        <v>967654.8</v>
      </c>
    </row>
    <row r="20" spans="1:13" x14ac:dyDescent="0.25">
      <c r="A20" s="266">
        <v>18</v>
      </c>
      <c r="B20" s="267" t="s">
        <v>281</v>
      </c>
      <c r="C20" s="267" t="s">
        <v>240</v>
      </c>
      <c r="D20" s="268">
        <v>190000</v>
      </c>
      <c r="E20" s="269">
        <f t="shared" si="0"/>
        <v>47500</v>
      </c>
      <c r="F20" s="266">
        <v>14</v>
      </c>
      <c r="G20" s="270">
        <f t="shared" si="1"/>
        <v>42000</v>
      </c>
      <c r="H20" s="269">
        <f t="shared" si="2"/>
        <v>279500</v>
      </c>
      <c r="I20" s="268">
        <v>15000</v>
      </c>
      <c r="J20" s="269">
        <f t="shared" si="3"/>
        <v>28937</v>
      </c>
      <c r="K20" s="268">
        <v>25000</v>
      </c>
      <c r="L20" s="269">
        <f t="shared" si="4"/>
        <v>58695</v>
      </c>
      <c r="M20" s="271">
        <f t="shared" si="5"/>
        <v>239742</v>
      </c>
    </row>
    <row r="21" spans="1:13" x14ac:dyDescent="0.25">
      <c r="A21" s="266">
        <v>19</v>
      </c>
      <c r="B21" s="267" t="s">
        <v>282</v>
      </c>
      <c r="C21" s="267" t="s">
        <v>245</v>
      </c>
      <c r="D21" s="268">
        <v>455000</v>
      </c>
      <c r="E21" s="269">
        <f t="shared" si="0"/>
        <v>113750</v>
      </c>
      <c r="F21" s="266">
        <v>15</v>
      </c>
      <c r="G21" s="270">
        <f t="shared" si="1"/>
        <v>45000</v>
      </c>
      <c r="H21" s="269">
        <f t="shared" si="2"/>
        <v>613750</v>
      </c>
      <c r="I21" s="268">
        <v>16000</v>
      </c>
      <c r="J21" s="269">
        <f t="shared" si="3"/>
        <v>69296.5</v>
      </c>
      <c r="K21" s="268">
        <v>34000</v>
      </c>
      <c r="L21" s="269">
        <f t="shared" si="4"/>
        <v>128887.5</v>
      </c>
      <c r="M21" s="271">
        <f t="shared" si="5"/>
        <v>536159</v>
      </c>
    </row>
    <row r="22" spans="1:13" x14ac:dyDescent="0.25">
      <c r="A22" s="266">
        <v>20</v>
      </c>
      <c r="B22" s="267" t="s">
        <v>283</v>
      </c>
      <c r="C22" s="267" t="s">
        <v>242</v>
      </c>
      <c r="D22" s="268">
        <v>614000</v>
      </c>
      <c r="E22" s="269">
        <f t="shared" si="0"/>
        <v>153500</v>
      </c>
      <c r="F22" s="266">
        <v>14</v>
      </c>
      <c r="G22" s="270">
        <f t="shared" si="1"/>
        <v>42000</v>
      </c>
      <c r="H22" s="269">
        <f t="shared" si="2"/>
        <v>809500</v>
      </c>
      <c r="I22" s="268">
        <v>18000</v>
      </c>
      <c r="J22" s="269">
        <f t="shared" si="3"/>
        <v>93512.2</v>
      </c>
      <c r="K22" s="268">
        <v>34000</v>
      </c>
      <c r="L22" s="269">
        <f t="shared" si="4"/>
        <v>169995</v>
      </c>
      <c r="M22" s="271">
        <f t="shared" si="5"/>
        <v>717017.2</v>
      </c>
    </row>
    <row r="23" spans="1:13" x14ac:dyDescent="0.25">
      <c r="A23" s="266">
        <v>21</v>
      </c>
      <c r="B23" s="267" t="s">
        <v>284</v>
      </c>
      <c r="C23" s="267" t="s">
        <v>247</v>
      </c>
      <c r="D23" s="268">
        <v>773000</v>
      </c>
      <c r="E23" s="269">
        <f t="shared" si="0"/>
        <v>193250</v>
      </c>
      <c r="F23" s="266">
        <v>13</v>
      </c>
      <c r="G23" s="270">
        <f t="shared" si="1"/>
        <v>39000</v>
      </c>
      <c r="H23" s="269">
        <f t="shared" si="2"/>
        <v>1005250</v>
      </c>
      <c r="I23" s="268">
        <v>16000</v>
      </c>
      <c r="J23" s="269">
        <f t="shared" si="3"/>
        <v>117727.9</v>
      </c>
      <c r="K23" s="268">
        <v>25000</v>
      </c>
      <c r="L23" s="269">
        <f t="shared" si="4"/>
        <v>211102.5</v>
      </c>
      <c r="M23" s="271">
        <f t="shared" si="5"/>
        <v>902875.39999999991</v>
      </c>
    </row>
    <row r="24" spans="1:13" x14ac:dyDescent="0.25">
      <c r="A24" s="266">
        <v>22</v>
      </c>
      <c r="B24" s="267" t="s">
        <v>285</v>
      </c>
      <c r="C24" s="267" t="s">
        <v>245</v>
      </c>
      <c r="D24" s="268">
        <v>455000</v>
      </c>
      <c r="E24" s="269">
        <f t="shared" si="0"/>
        <v>113750</v>
      </c>
      <c r="F24" s="266">
        <v>16</v>
      </c>
      <c r="G24" s="270">
        <f t="shared" si="1"/>
        <v>48000</v>
      </c>
      <c r="H24" s="269">
        <f t="shared" si="2"/>
        <v>616750</v>
      </c>
      <c r="I24" s="268">
        <v>15000</v>
      </c>
      <c r="J24" s="269">
        <f t="shared" si="3"/>
        <v>69296.5</v>
      </c>
      <c r="K24" s="272">
        <v>34000</v>
      </c>
      <c r="L24" s="269">
        <f t="shared" si="4"/>
        <v>129517.5</v>
      </c>
      <c r="M24" s="271">
        <f t="shared" si="5"/>
        <v>537529</v>
      </c>
    </row>
    <row r="25" spans="1:13" x14ac:dyDescent="0.25">
      <c r="A25" s="266">
        <v>23</v>
      </c>
      <c r="B25" s="267" t="s">
        <v>286</v>
      </c>
      <c r="C25" s="267" t="s">
        <v>242</v>
      </c>
      <c r="D25" s="272">
        <v>455000</v>
      </c>
      <c r="E25" s="269">
        <f t="shared" si="0"/>
        <v>113750</v>
      </c>
      <c r="F25" s="266">
        <v>12</v>
      </c>
      <c r="G25" s="270">
        <f t="shared" si="1"/>
        <v>36000</v>
      </c>
      <c r="H25" s="269">
        <f t="shared" si="2"/>
        <v>604750</v>
      </c>
      <c r="I25" s="268">
        <v>16000</v>
      </c>
      <c r="J25" s="269">
        <f t="shared" si="3"/>
        <v>69296.5</v>
      </c>
      <c r="K25" s="272">
        <v>34000</v>
      </c>
      <c r="L25" s="269">
        <f t="shared" si="4"/>
        <v>126997.5</v>
      </c>
      <c r="M25" s="271">
        <f t="shared" si="5"/>
        <v>529049</v>
      </c>
    </row>
    <row r="26" spans="1:13" x14ac:dyDescent="0.25">
      <c r="A26" s="266">
        <v>24</v>
      </c>
      <c r="B26" s="267" t="s">
        <v>287</v>
      </c>
      <c r="C26" s="267" t="s">
        <v>247</v>
      </c>
      <c r="D26" s="272">
        <v>455000</v>
      </c>
      <c r="E26" s="269">
        <f t="shared" si="0"/>
        <v>113750</v>
      </c>
      <c r="F26" s="266">
        <v>18</v>
      </c>
      <c r="G26" s="270">
        <f t="shared" si="1"/>
        <v>54000</v>
      </c>
      <c r="H26" s="269">
        <f t="shared" si="2"/>
        <v>622750</v>
      </c>
      <c r="I26" s="268">
        <v>20500</v>
      </c>
      <c r="J26" s="269">
        <f t="shared" si="3"/>
        <v>69296.5</v>
      </c>
      <c r="K26" s="272">
        <v>25000</v>
      </c>
      <c r="L26" s="269">
        <f t="shared" si="4"/>
        <v>130777.5</v>
      </c>
      <c r="M26" s="271">
        <f t="shared" si="5"/>
        <v>556769</v>
      </c>
    </row>
    <row r="27" spans="1:13" ht="6" customHeight="1" thickBot="1" x14ac:dyDescent="0.3">
      <c r="D27" s="117"/>
      <c r="F27" s="118"/>
      <c r="H27" s="120"/>
      <c r="I27" s="116"/>
      <c r="K27" s="117"/>
    </row>
    <row r="28" spans="1:13" x14ac:dyDescent="0.25">
      <c r="B28" s="114" t="s">
        <v>9</v>
      </c>
      <c r="C28" s="126"/>
      <c r="D28" s="127">
        <f>SUM(D3:D26)</f>
        <v>11601000</v>
      </c>
      <c r="E28" s="127">
        <f t="shared" ref="E28:M28" si="6">SUM(E3:E26)</f>
        <v>2900250</v>
      </c>
      <c r="F28" s="127">
        <f t="shared" si="6"/>
        <v>361</v>
      </c>
      <c r="G28" s="127">
        <f t="shared" si="6"/>
        <v>1083000</v>
      </c>
      <c r="H28" s="127">
        <f t="shared" si="6"/>
        <v>15584250</v>
      </c>
      <c r="I28" s="127">
        <f t="shared" si="6"/>
        <v>406500</v>
      </c>
      <c r="J28" s="127">
        <f t="shared" si="6"/>
        <v>1766832.3</v>
      </c>
      <c r="K28" s="127">
        <f t="shared" si="6"/>
        <v>725000</v>
      </c>
      <c r="L28" s="127">
        <f t="shared" si="6"/>
        <v>3272692.5</v>
      </c>
      <c r="M28" s="127">
        <f t="shared" si="6"/>
        <v>13759889.800000001</v>
      </c>
    </row>
    <row r="29" spans="1:13" x14ac:dyDescent="0.25">
      <c r="B29" s="115" t="s">
        <v>288</v>
      </c>
      <c r="C29" s="128"/>
      <c r="D29" s="129">
        <f>AVERAGE(D3:D26)</f>
        <v>483375</v>
      </c>
      <c r="E29" s="129">
        <f t="shared" ref="E29:M29" si="7">AVERAGE(E3:E26)</f>
        <v>120843.75</v>
      </c>
      <c r="F29" s="129">
        <f t="shared" si="7"/>
        <v>15.041666666666666</v>
      </c>
      <c r="G29" s="129">
        <f t="shared" si="7"/>
        <v>45125</v>
      </c>
      <c r="H29" s="129">
        <f t="shared" si="7"/>
        <v>649343.75</v>
      </c>
      <c r="I29" s="129">
        <f t="shared" si="7"/>
        <v>16937.5</v>
      </c>
      <c r="J29" s="129">
        <f t="shared" si="7"/>
        <v>73618.012499999997</v>
      </c>
      <c r="K29" s="129">
        <f t="shared" si="7"/>
        <v>30208.333333333332</v>
      </c>
      <c r="L29" s="129">
        <f t="shared" si="7"/>
        <v>136362.1875</v>
      </c>
      <c r="M29" s="129">
        <f t="shared" si="7"/>
        <v>573328.7416666667</v>
      </c>
    </row>
    <row r="30" spans="1:13" x14ac:dyDescent="0.25">
      <c r="B30" s="115" t="s">
        <v>289</v>
      </c>
      <c r="C30" s="128"/>
      <c r="D30" s="129">
        <f>MAX(D3:D26)</f>
        <v>826000</v>
      </c>
      <c r="E30" s="129">
        <f t="shared" ref="E30:M30" si="8">MAX(E3:E26)</f>
        <v>206500</v>
      </c>
      <c r="F30" s="129">
        <f t="shared" si="8"/>
        <v>20</v>
      </c>
      <c r="G30" s="129">
        <f t="shared" si="8"/>
        <v>60000</v>
      </c>
      <c r="H30" s="129">
        <f t="shared" si="8"/>
        <v>1086500</v>
      </c>
      <c r="I30" s="129">
        <f t="shared" si="8"/>
        <v>20500</v>
      </c>
      <c r="J30" s="129">
        <f t="shared" si="8"/>
        <v>125799.79999999999</v>
      </c>
      <c r="K30" s="129">
        <f t="shared" si="8"/>
        <v>38000</v>
      </c>
      <c r="L30" s="129">
        <f t="shared" si="8"/>
        <v>228165</v>
      </c>
      <c r="M30" s="129">
        <f t="shared" si="8"/>
        <v>975134.8</v>
      </c>
    </row>
    <row r="31" spans="1:13" ht="14.4" thickBot="1" x14ac:dyDescent="0.3">
      <c r="B31" s="119" t="s">
        <v>290</v>
      </c>
      <c r="C31" s="130"/>
      <c r="D31" s="131">
        <f>MIN(D3:D26)</f>
        <v>190000</v>
      </c>
      <c r="E31" s="131">
        <f t="shared" ref="E31:M31" si="9">MIN(E3:E26)</f>
        <v>47500</v>
      </c>
      <c r="F31" s="131">
        <f t="shared" si="9"/>
        <v>12</v>
      </c>
      <c r="G31" s="131">
        <f t="shared" si="9"/>
        <v>36000</v>
      </c>
      <c r="H31" s="131">
        <f t="shared" si="9"/>
        <v>279500</v>
      </c>
      <c r="I31" s="131">
        <f t="shared" si="9"/>
        <v>15000</v>
      </c>
      <c r="J31" s="131">
        <f t="shared" si="9"/>
        <v>28937</v>
      </c>
      <c r="K31" s="131">
        <f t="shared" si="9"/>
        <v>12000</v>
      </c>
      <c r="L31" s="131">
        <f t="shared" si="9"/>
        <v>58695</v>
      </c>
      <c r="M31" s="131">
        <f t="shared" si="9"/>
        <v>239742</v>
      </c>
    </row>
    <row r="32" spans="1:13" ht="6" customHeight="1" x14ac:dyDescent="0.25"/>
    <row r="33" spans="2:10" x14ac:dyDescent="0.25">
      <c r="B33" s="121" t="s">
        <v>293</v>
      </c>
      <c r="C33" s="122"/>
      <c r="D33" s="122"/>
      <c r="E33" s="122"/>
      <c r="F33" s="122"/>
    </row>
    <row r="34" spans="2:10" x14ac:dyDescent="0.25">
      <c r="B34" s="123" t="s">
        <v>294</v>
      </c>
      <c r="C34" s="124"/>
      <c r="D34" s="124"/>
      <c r="E34" s="124"/>
      <c r="F34" s="125"/>
      <c r="H34" s="122" t="s">
        <v>291</v>
      </c>
      <c r="I34" s="123">
        <v>17</v>
      </c>
    </row>
    <row r="35" spans="2:10" x14ac:dyDescent="0.25">
      <c r="B35" s="123" t="s">
        <v>295</v>
      </c>
      <c r="C35" s="124"/>
      <c r="D35" s="124"/>
      <c r="E35" s="124"/>
      <c r="F35" s="125"/>
      <c r="H35" s="122"/>
      <c r="I35" s="122"/>
    </row>
    <row r="36" spans="2:10" x14ac:dyDescent="0.25">
      <c r="B36" s="123" t="s">
        <v>299</v>
      </c>
      <c r="C36" s="124"/>
      <c r="D36" s="124"/>
      <c r="E36" s="124"/>
      <c r="F36" s="125"/>
      <c r="H36" s="122" t="s">
        <v>13</v>
      </c>
      <c r="I36" s="278" t="str">
        <f>VLOOKUP(I34,sueldos,2,FALSE)</f>
        <v>Raúl Soto</v>
      </c>
      <c r="J36" s="278"/>
    </row>
    <row r="37" spans="2:10" x14ac:dyDescent="0.25">
      <c r="B37" s="123" t="s">
        <v>296</v>
      </c>
      <c r="C37" s="124"/>
      <c r="D37" s="124"/>
      <c r="E37" s="124"/>
      <c r="F37" s="125"/>
      <c r="H37" s="273" t="s">
        <v>254</v>
      </c>
      <c r="I37" s="278" t="str">
        <f>VLOOKUP(I34,sueldos,3,FALSE)</f>
        <v>Recursos Humanos</v>
      </c>
      <c r="J37" s="278"/>
    </row>
    <row r="38" spans="2:10" x14ac:dyDescent="0.25">
      <c r="B38" s="123" t="s">
        <v>297</v>
      </c>
      <c r="C38" s="124"/>
      <c r="D38" s="124"/>
      <c r="E38" s="124"/>
      <c r="F38" s="125"/>
      <c r="H38" s="122" t="s">
        <v>292</v>
      </c>
      <c r="I38" s="279">
        <f>VLOOKUP(I34,sueldos,13,FALSE)</f>
        <v>967654.8</v>
      </c>
      <c r="J38" s="279"/>
    </row>
    <row r="39" spans="2:10" x14ac:dyDescent="0.25">
      <c r="B39" s="123" t="s">
        <v>298</v>
      </c>
      <c r="C39" s="124"/>
      <c r="D39" s="124"/>
      <c r="E39" s="124"/>
      <c r="F39" s="125"/>
    </row>
    <row r="40" spans="2:10" x14ac:dyDescent="0.25">
      <c r="B40" s="122"/>
      <c r="C40" s="122"/>
      <c r="D40" s="122"/>
      <c r="E40" s="122"/>
      <c r="F40" s="122"/>
    </row>
    <row r="41" spans="2:10" x14ac:dyDescent="0.25">
      <c r="D41" s="122"/>
      <c r="E41" s="122"/>
      <c r="F41" s="122"/>
    </row>
    <row r="42" spans="2:10" x14ac:dyDescent="0.25">
      <c r="D42" s="122"/>
      <c r="E42" s="122"/>
      <c r="F42" s="122"/>
    </row>
    <row r="43" spans="2:10" x14ac:dyDescent="0.25">
      <c r="D43" s="122"/>
      <c r="E43" s="122"/>
      <c r="F43" s="122"/>
    </row>
    <row r="44" spans="2:10" x14ac:dyDescent="0.25">
      <c r="D44" s="122"/>
      <c r="E44" s="122"/>
      <c r="F44" s="122"/>
    </row>
    <row r="45" spans="2:10" x14ac:dyDescent="0.25">
      <c r="D45" s="122"/>
      <c r="E45" s="122"/>
      <c r="F45" s="122"/>
    </row>
    <row r="46" spans="2:10" x14ac:dyDescent="0.25">
      <c r="B46" s="122"/>
      <c r="C46" s="122"/>
      <c r="D46" s="122"/>
      <c r="E46" s="122"/>
      <c r="F46" s="122"/>
    </row>
  </sheetData>
  <mergeCells count="4">
    <mergeCell ref="B1:M1"/>
    <mergeCell ref="I36:J36"/>
    <mergeCell ref="I37:J37"/>
    <mergeCell ref="I38:J38"/>
  </mergeCells>
  <phoneticPr fontId="0" type="noConversion"/>
  <pageMargins left="0.75" right="0.75" top="1" bottom="1" header="0" footer="0"/>
  <pageSetup paperSize="9" orientation="portrait" horizontalDpi="200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B1:K28"/>
  <sheetViews>
    <sheetView topLeftCell="A4" workbookViewId="0">
      <selection activeCell="D20" sqref="D20"/>
    </sheetView>
  </sheetViews>
  <sheetFormatPr baseColWidth="10" defaultColWidth="11.44140625" defaultRowHeight="13.8" x14ac:dyDescent="0.25"/>
  <cols>
    <col min="1" max="1" width="11.44140625" style="155"/>
    <col min="2" max="2" width="13.44140625" style="155" customWidth="1"/>
    <col min="3" max="3" width="11.44140625" style="155"/>
    <col min="4" max="4" width="17.5546875" style="155" bestFit="1" customWidth="1"/>
    <col min="5" max="5" width="5.5546875" style="155" customWidth="1"/>
    <col min="6" max="6" width="16.6640625" style="155" customWidth="1"/>
    <col min="7" max="7" width="6.88671875" style="155" customWidth="1"/>
    <col min="8" max="8" width="16.33203125" style="155" customWidth="1"/>
    <col min="9" max="9" width="16.109375" style="155" customWidth="1"/>
    <col min="10" max="10" width="9.44140625" style="155" customWidth="1"/>
    <col min="11" max="11" width="12.109375" style="155" bestFit="1" customWidth="1"/>
    <col min="12" max="16384" width="11.44140625" style="155"/>
  </cols>
  <sheetData>
    <row r="1" spans="2:10" ht="14.4" thickBot="1" x14ac:dyDescent="0.3"/>
    <row r="2" spans="2:10" x14ac:dyDescent="0.25">
      <c r="B2" s="156"/>
      <c r="C2" s="157"/>
      <c r="D2" s="157"/>
      <c r="E2" s="157"/>
      <c r="F2" s="157"/>
      <c r="G2" s="157"/>
      <c r="H2" s="157"/>
      <c r="I2" s="157"/>
      <c r="J2" s="158"/>
    </row>
    <row r="3" spans="2:10" x14ac:dyDescent="0.25">
      <c r="B3" s="159"/>
      <c r="E3" s="280" t="s">
        <v>312</v>
      </c>
      <c r="F3" s="280"/>
      <c r="G3" s="280"/>
      <c r="J3" s="160"/>
    </row>
    <row r="4" spans="2:10" ht="14.4" thickBot="1" x14ac:dyDescent="0.3">
      <c r="B4" s="159"/>
      <c r="J4" s="160"/>
    </row>
    <row r="5" spans="2:10" ht="17.399999999999999" x14ac:dyDescent="0.3">
      <c r="B5" s="156" t="s">
        <v>313</v>
      </c>
      <c r="C5" s="157" t="s">
        <v>314</v>
      </c>
      <c r="D5" s="157"/>
      <c r="E5" s="157"/>
      <c r="F5" s="157" t="s">
        <v>315</v>
      </c>
      <c r="G5" s="157">
        <v>30</v>
      </c>
      <c r="H5" s="157"/>
      <c r="I5" s="157" t="s">
        <v>316</v>
      </c>
      <c r="J5" s="241">
        <v>1</v>
      </c>
    </row>
    <row r="6" spans="2:10" x14ac:dyDescent="0.25">
      <c r="B6" s="159"/>
      <c r="J6" s="160"/>
    </row>
    <row r="7" spans="2:10" x14ac:dyDescent="0.25">
      <c r="B7" s="159"/>
      <c r="J7" s="160"/>
    </row>
    <row r="8" spans="2:10" ht="14.4" thickBot="1" x14ac:dyDescent="0.3">
      <c r="B8" s="161" t="s">
        <v>317</v>
      </c>
      <c r="C8" s="282" t="str">
        <f>VLOOKUP(J5,sueldos,2,FALSE)</f>
        <v>Arturo López</v>
      </c>
      <c r="D8" s="283"/>
      <c r="E8" s="163"/>
      <c r="F8" s="163" t="s">
        <v>318</v>
      </c>
      <c r="G8" s="164"/>
      <c r="H8" s="242">
        <f>VLOOKUP(J5,sueldos,6,FALSE)</f>
        <v>20</v>
      </c>
      <c r="I8" s="163" t="s">
        <v>319</v>
      </c>
      <c r="J8" s="243">
        <v>3000</v>
      </c>
    </row>
    <row r="9" spans="2:10" ht="14.4" thickBot="1" x14ac:dyDescent="0.3">
      <c r="B9" s="166"/>
      <c r="C9" s="162" t="s">
        <v>320</v>
      </c>
      <c r="D9" s="162"/>
      <c r="E9" s="168"/>
      <c r="F9" s="166"/>
      <c r="G9" s="167"/>
      <c r="H9" s="162" t="s">
        <v>321</v>
      </c>
      <c r="I9" s="167"/>
      <c r="J9" s="165"/>
    </row>
    <row r="10" spans="2:10" x14ac:dyDescent="0.25">
      <c r="B10" s="169"/>
      <c r="C10" s="170"/>
      <c r="D10" s="170"/>
      <c r="E10" s="171"/>
      <c r="F10" s="170"/>
      <c r="G10" s="170"/>
      <c r="H10" s="170"/>
      <c r="I10" s="170"/>
      <c r="J10" s="171"/>
    </row>
    <row r="11" spans="2:10" x14ac:dyDescent="0.25">
      <c r="B11" s="159" t="s">
        <v>322</v>
      </c>
      <c r="D11" s="240">
        <f>VLOOKUP(Liquidación!J5,sueldos,4,FALSE)</f>
        <v>360000</v>
      </c>
      <c r="E11" s="160"/>
      <c r="F11" s="155" t="s">
        <v>323</v>
      </c>
      <c r="H11" s="170"/>
      <c r="I11" s="240">
        <f>VLOOKUP(J5,sueldos,11,FALSE)</f>
        <v>35000</v>
      </c>
      <c r="J11" s="171"/>
    </row>
    <row r="12" spans="2:10" x14ac:dyDescent="0.25">
      <c r="B12" s="159" t="s">
        <v>324</v>
      </c>
      <c r="D12" s="240">
        <f>VLOOKUP(J5,sueldos,10,FALSE)</f>
        <v>54828</v>
      </c>
      <c r="E12" s="160"/>
      <c r="F12" s="155" t="s">
        <v>325</v>
      </c>
      <c r="H12" s="170"/>
      <c r="I12" s="240">
        <f>VLOOKUP(J5,sueldos,12,FALSE)</f>
        <v>107100</v>
      </c>
      <c r="J12" s="171"/>
    </row>
    <row r="13" spans="2:10" x14ac:dyDescent="0.25">
      <c r="B13" s="159" t="s">
        <v>326</v>
      </c>
      <c r="D13" s="240">
        <f>VLOOKUP(J5,sueldos,5,FALSE)</f>
        <v>90000</v>
      </c>
      <c r="E13" s="160"/>
      <c r="H13" s="170"/>
      <c r="I13" s="173"/>
      <c r="J13" s="171"/>
    </row>
    <row r="14" spans="2:10" x14ac:dyDescent="0.25">
      <c r="B14" s="159" t="s">
        <v>327</v>
      </c>
      <c r="D14" s="240">
        <f>VLOOKUP(J5,sueldos,9,FALSE)</f>
        <v>18000</v>
      </c>
      <c r="E14" s="160"/>
      <c r="I14" s="174"/>
      <c r="J14" s="160"/>
    </row>
    <row r="15" spans="2:10" x14ac:dyDescent="0.25">
      <c r="B15" s="159" t="s">
        <v>328</v>
      </c>
      <c r="D15" s="240">
        <f>VLOOKUP(J5,sueldos,7,FALSE)</f>
        <v>60000</v>
      </c>
      <c r="E15" s="160"/>
      <c r="I15" s="174"/>
      <c r="J15" s="160"/>
    </row>
    <row r="16" spans="2:10" x14ac:dyDescent="0.25">
      <c r="B16" s="159"/>
      <c r="D16" s="173"/>
      <c r="E16" s="160"/>
      <c r="I16" s="174"/>
      <c r="J16" s="160"/>
    </row>
    <row r="17" spans="2:11" x14ac:dyDescent="0.25">
      <c r="B17" s="159"/>
      <c r="D17" s="174"/>
      <c r="E17" s="160"/>
      <c r="I17" s="174"/>
      <c r="J17" s="160"/>
    </row>
    <row r="18" spans="2:11" ht="14.4" thickBot="1" x14ac:dyDescent="0.3">
      <c r="B18" s="161"/>
      <c r="C18" s="163"/>
      <c r="D18" s="174"/>
      <c r="E18" s="175"/>
      <c r="F18" s="163"/>
      <c r="G18" s="163"/>
      <c r="H18" s="163"/>
      <c r="J18" s="175"/>
    </row>
    <row r="19" spans="2:11" x14ac:dyDescent="0.25">
      <c r="B19" s="156" t="s">
        <v>329</v>
      </c>
      <c r="C19" s="157"/>
      <c r="D19" s="244">
        <f>SUM(D11:D15)</f>
        <v>582828</v>
      </c>
      <c r="E19" s="176"/>
      <c r="F19" s="157"/>
      <c r="G19" s="157" t="s">
        <v>330</v>
      </c>
      <c r="H19" s="156"/>
      <c r="I19" s="244">
        <f>SUM(I11:I12)</f>
        <v>142100</v>
      </c>
      <c r="J19" s="158"/>
    </row>
    <row r="20" spans="2:11" ht="14.4" thickBot="1" x14ac:dyDescent="0.3">
      <c r="B20" s="161"/>
      <c r="C20" s="163"/>
      <c r="D20" s="163"/>
      <c r="E20" s="176"/>
      <c r="F20" s="163"/>
      <c r="G20" s="163"/>
      <c r="H20" s="163"/>
      <c r="I20" s="172"/>
      <c r="J20" s="160"/>
    </row>
    <row r="21" spans="2:11" ht="14.4" thickBot="1" x14ac:dyDescent="0.3">
      <c r="B21" s="159"/>
      <c r="F21" s="177"/>
      <c r="G21" s="281" t="s">
        <v>331</v>
      </c>
      <c r="H21" s="281"/>
      <c r="I21" s="244">
        <f>D19-I19</f>
        <v>440728</v>
      </c>
      <c r="J21" s="178"/>
      <c r="K21" s="179"/>
    </row>
    <row r="22" spans="2:11" x14ac:dyDescent="0.25">
      <c r="B22" s="159"/>
      <c r="I22" s="170"/>
      <c r="J22" s="160"/>
    </row>
    <row r="23" spans="2:11" x14ac:dyDescent="0.25">
      <c r="B23" s="159"/>
      <c r="J23" s="160"/>
    </row>
    <row r="24" spans="2:11" x14ac:dyDescent="0.25">
      <c r="B24" s="159"/>
      <c r="J24" s="160"/>
    </row>
    <row r="25" spans="2:11" x14ac:dyDescent="0.25">
      <c r="B25" s="159"/>
      <c r="J25" s="160"/>
    </row>
    <row r="26" spans="2:11" x14ac:dyDescent="0.25">
      <c r="B26" s="159"/>
      <c r="C26" s="155" t="s">
        <v>332</v>
      </c>
      <c r="J26" s="160"/>
    </row>
    <row r="27" spans="2:11" x14ac:dyDescent="0.25">
      <c r="B27" s="159"/>
      <c r="J27" s="160"/>
    </row>
    <row r="28" spans="2:11" ht="14.4" thickBot="1" x14ac:dyDescent="0.3">
      <c r="B28" s="161"/>
      <c r="C28" s="163"/>
      <c r="D28" s="163"/>
      <c r="E28" s="163"/>
      <c r="F28" s="163"/>
      <c r="G28" s="163"/>
      <c r="H28" s="163"/>
      <c r="I28" s="163"/>
      <c r="J28" s="175"/>
    </row>
  </sheetData>
  <mergeCells count="3">
    <mergeCell ref="E3:G3"/>
    <mergeCell ref="G21:H21"/>
    <mergeCell ref="C8:D8"/>
  </mergeCells>
  <phoneticPr fontId="0" type="noConversion"/>
  <pageMargins left="0.75" right="0.75" top="1" bottom="1" header="0" footer="0"/>
  <pageSetup paperSize="9" scale="63" orientation="portrait" horizontalDpi="240" verticalDpi="144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9:I30"/>
  <sheetViews>
    <sheetView showGridLines="0" zoomScale="80" zoomScaleNormal="80" workbookViewId="0">
      <selection activeCell="G26" sqref="G26"/>
    </sheetView>
  </sheetViews>
  <sheetFormatPr baseColWidth="10" defaultRowHeight="13.2" x14ac:dyDescent="0.25"/>
  <cols>
    <col min="2" max="2" width="20.88671875" bestFit="1" customWidth="1"/>
    <col min="6" max="6" width="21.5546875" bestFit="1" customWidth="1"/>
  </cols>
  <sheetData>
    <row r="9" spans="1:9" ht="22.8" x14ac:dyDescent="0.4">
      <c r="A9" s="22" t="s">
        <v>69</v>
      </c>
    </row>
    <row r="10" spans="1:9" x14ac:dyDescent="0.25">
      <c r="A10" t="s">
        <v>150</v>
      </c>
    </row>
    <row r="11" spans="1:9" ht="13.8" thickBot="1" x14ac:dyDescent="0.3"/>
    <row r="12" spans="1:9" ht="13.8" thickBot="1" x14ac:dyDescent="0.3">
      <c r="A12" s="23" t="s">
        <v>26</v>
      </c>
      <c r="B12" s="103" t="s">
        <v>27</v>
      </c>
      <c r="C12" s="103" t="s">
        <v>28</v>
      </c>
      <c r="D12" s="103" t="s">
        <v>29</v>
      </c>
      <c r="E12" s="103" t="s">
        <v>30</v>
      </c>
      <c r="F12" s="103" t="s">
        <v>31</v>
      </c>
      <c r="G12" s="103" t="s">
        <v>32</v>
      </c>
      <c r="H12" s="103" t="s">
        <v>33</v>
      </c>
      <c r="I12" s="103" t="s">
        <v>34</v>
      </c>
    </row>
    <row r="13" spans="1:9" x14ac:dyDescent="0.25">
      <c r="A13" s="104" t="s">
        <v>35</v>
      </c>
      <c r="B13" s="105" t="s">
        <v>95</v>
      </c>
      <c r="C13" s="106" t="s">
        <v>36</v>
      </c>
      <c r="D13" s="106" t="s">
        <v>37</v>
      </c>
      <c r="E13" s="107">
        <v>27887</v>
      </c>
      <c r="F13" s="106" t="s">
        <v>38</v>
      </c>
      <c r="G13" s="106" t="s">
        <v>39</v>
      </c>
      <c r="H13" s="106" t="s">
        <v>39</v>
      </c>
      <c r="I13" s="54" t="s">
        <v>40</v>
      </c>
    </row>
    <row r="14" spans="1:9" x14ac:dyDescent="0.25">
      <c r="A14" s="15" t="s">
        <v>41</v>
      </c>
      <c r="B14" s="30" t="s">
        <v>97</v>
      </c>
      <c r="C14" s="3" t="s">
        <v>42</v>
      </c>
      <c r="D14" s="3" t="s">
        <v>43</v>
      </c>
      <c r="E14" s="31">
        <v>21931</v>
      </c>
      <c r="F14" s="3" t="s">
        <v>44</v>
      </c>
      <c r="G14" s="3" t="s">
        <v>45</v>
      </c>
      <c r="H14" s="3" t="s">
        <v>45</v>
      </c>
      <c r="I14" s="69" t="s">
        <v>46</v>
      </c>
    </row>
    <row r="15" spans="1:9" x14ac:dyDescent="0.25">
      <c r="A15" s="15" t="s">
        <v>47</v>
      </c>
      <c r="B15" s="30" t="s">
        <v>100</v>
      </c>
      <c r="C15" s="51" t="s">
        <v>109</v>
      </c>
      <c r="D15" s="51" t="s">
        <v>110</v>
      </c>
      <c r="E15" s="31">
        <v>26570</v>
      </c>
      <c r="F15" s="3" t="s">
        <v>48</v>
      </c>
      <c r="G15" s="3" t="s">
        <v>49</v>
      </c>
      <c r="H15" s="3" t="s">
        <v>49</v>
      </c>
      <c r="I15" s="69" t="s">
        <v>50</v>
      </c>
    </row>
    <row r="16" spans="1:9" x14ac:dyDescent="0.25">
      <c r="A16" s="15" t="s">
        <v>53</v>
      </c>
      <c r="B16" s="30" t="s">
        <v>108</v>
      </c>
      <c r="C16" s="51" t="s">
        <v>111</v>
      </c>
      <c r="D16" s="51" t="s">
        <v>112</v>
      </c>
      <c r="E16" s="31">
        <v>26412</v>
      </c>
      <c r="F16" s="3" t="s">
        <v>52</v>
      </c>
      <c r="G16" s="3" t="s">
        <v>165</v>
      </c>
      <c r="H16" s="3" t="s">
        <v>39</v>
      </c>
      <c r="I16" s="69" t="s">
        <v>40</v>
      </c>
    </row>
    <row r="17" spans="1:9" x14ac:dyDescent="0.25">
      <c r="A17" s="108" t="s">
        <v>90</v>
      </c>
      <c r="B17" s="30" t="s">
        <v>101</v>
      </c>
      <c r="C17" s="51" t="s">
        <v>113</v>
      </c>
      <c r="D17" s="51" t="s">
        <v>114</v>
      </c>
      <c r="E17" s="31">
        <v>29516</v>
      </c>
      <c r="F17" s="40" t="s">
        <v>151</v>
      </c>
      <c r="G17" s="3" t="s">
        <v>45</v>
      </c>
      <c r="H17" s="3" t="s">
        <v>45</v>
      </c>
      <c r="I17" s="69" t="s">
        <v>46</v>
      </c>
    </row>
    <row r="18" spans="1:9" x14ac:dyDescent="0.25">
      <c r="A18" s="108" t="s">
        <v>91</v>
      </c>
      <c r="B18" s="30" t="s">
        <v>102</v>
      </c>
      <c r="C18" s="51" t="s">
        <v>115</v>
      </c>
      <c r="D18" s="51" t="s">
        <v>116</v>
      </c>
      <c r="E18" s="31">
        <v>29547</v>
      </c>
      <c r="F18" s="40" t="s">
        <v>152</v>
      </c>
      <c r="G18" s="3" t="s">
        <v>166</v>
      </c>
      <c r="H18" s="3" t="s">
        <v>49</v>
      </c>
      <c r="I18" s="69" t="s">
        <v>50</v>
      </c>
    </row>
    <row r="19" spans="1:9" x14ac:dyDescent="0.25">
      <c r="A19" s="108" t="s">
        <v>92</v>
      </c>
      <c r="B19" s="30" t="s">
        <v>103</v>
      </c>
      <c r="C19" s="51" t="s">
        <v>98</v>
      </c>
      <c r="D19" s="51" t="s">
        <v>117</v>
      </c>
      <c r="E19" s="31">
        <v>30122</v>
      </c>
      <c r="F19" s="40" t="s">
        <v>153</v>
      </c>
      <c r="G19" s="3" t="s">
        <v>39</v>
      </c>
      <c r="H19" s="3" t="s">
        <v>39</v>
      </c>
      <c r="I19" s="68" t="s">
        <v>40</v>
      </c>
    </row>
    <row r="20" spans="1:9" x14ac:dyDescent="0.25">
      <c r="A20" s="108" t="s">
        <v>93</v>
      </c>
      <c r="B20" s="30" t="s">
        <v>104</v>
      </c>
      <c r="C20" s="51" t="s">
        <v>118</v>
      </c>
      <c r="D20" s="51" t="s">
        <v>119</v>
      </c>
      <c r="E20" s="31">
        <v>25949</v>
      </c>
      <c r="F20" s="40" t="s">
        <v>154</v>
      </c>
      <c r="G20" s="3" t="s">
        <v>45</v>
      </c>
      <c r="H20" s="3" t="s">
        <v>45</v>
      </c>
      <c r="I20" s="69" t="s">
        <v>46</v>
      </c>
    </row>
    <row r="21" spans="1:9" x14ac:dyDescent="0.25">
      <c r="A21" s="108" t="s">
        <v>94</v>
      </c>
      <c r="B21" s="30" t="s">
        <v>105</v>
      </c>
      <c r="C21" s="51" t="s">
        <v>120</v>
      </c>
      <c r="D21" s="51" t="s">
        <v>121</v>
      </c>
      <c r="E21" s="31">
        <v>26011</v>
      </c>
      <c r="F21" s="40" t="s">
        <v>155</v>
      </c>
      <c r="G21" s="3" t="s">
        <v>167</v>
      </c>
      <c r="H21" s="3" t="s">
        <v>49</v>
      </c>
      <c r="I21" s="69" t="s">
        <v>50</v>
      </c>
    </row>
    <row r="22" spans="1:9" x14ac:dyDescent="0.25">
      <c r="A22" s="108" t="s">
        <v>96</v>
      </c>
      <c r="B22" s="30" t="s">
        <v>106</v>
      </c>
      <c r="C22" s="51" t="s">
        <v>122</v>
      </c>
      <c r="D22" s="51" t="s">
        <v>123</v>
      </c>
      <c r="E22" s="31">
        <v>27521</v>
      </c>
      <c r="F22" s="40" t="s">
        <v>156</v>
      </c>
      <c r="G22" s="3" t="s">
        <v>168</v>
      </c>
      <c r="H22" s="3" t="s">
        <v>39</v>
      </c>
      <c r="I22" s="68" t="s">
        <v>40</v>
      </c>
    </row>
    <row r="23" spans="1:9" x14ac:dyDescent="0.25">
      <c r="A23" s="108" t="s">
        <v>99</v>
      </c>
      <c r="B23" s="30" t="s">
        <v>107</v>
      </c>
      <c r="C23" s="51" t="s">
        <v>124</v>
      </c>
      <c r="D23" s="51" t="s">
        <v>125</v>
      </c>
      <c r="E23" s="31">
        <v>28636</v>
      </c>
      <c r="F23" s="40" t="s">
        <v>157</v>
      </c>
      <c r="G23" s="3" t="s">
        <v>45</v>
      </c>
      <c r="H23" s="3" t="s">
        <v>45</v>
      </c>
      <c r="I23" s="69" t="s">
        <v>46</v>
      </c>
    </row>
    <row r="24" spans="1:9" x14ac:dyDescent="0.25">
      <c r="A24" s="108" t="s">
        <v>137</v>
      </c>
      <c r="B24" s="30" t="s">
        <v>138</v>
      </c>
      <c r="C24" s="51" t="s">
        <v>126</v>
      </c>
      <c r="D24" s="51" t="s">
        <v>127</v>
      </c>
      <c r="E24" s="31">
        <v>31069</v>
      </c>
      <c r="F24" s="40" t="s">
        <v>158</v>
      </c>
      <c r="G24" s="3" t="s">
        <v>49</v>
      </c>
      <c r="H24" s="3" t="s">
        <v>49</v>
      </c>
      <c r="I24" s="69" t="s">
        <v>50</v>
      </c>
    </row>
    <row r="25" spans="1:9" x14ac:dyDescent="0.25">
      <c r="A25" s="108" t="s">
        <v>139</v>
      </c>
      <c r="B25" s="30" t="s">
        <v>140</v>
      </c>
      <c r="C25" s="51" t="s">
        <v>128</v>
      </c>
      <c r="D25" s="51" t="s">
        <v>115</v>
      </c>
      <c r="E25" s="31">
        <v>27566</v>
      </c>
      <c r="F25" s="40" t="s">
        <v>159</v>
      </c>
      <c r="G25" s="3" t="s">
        <v>39</v>
      </c>
      <c r="H25" s="3" t="s">
        <v>39</v>
      </c>
      <c r="I25" s="68" t="s">
        <v>40</v>
      </c>
    </row>
    <row r="26" spans="1:9" x14ac:dyDescent="0.25">
      <c r="A26" s="108" t="s">
        <v>141</v>
      </c>
      <c r="B26" s="30" t="s">
        <v>142</v>
      </c>
      <c r="C26" s="30" t="s">
        <v>129</v>
      </c>
      <c r="D26" s="30" t="s">
        <v>121</v>
      </c>
      <c r="E26" s="31">
        <v>24714</v>
      </c>
      <c r="F26" s="40" t="s">
        <v>160</v>
      </c>
      <c r="G26" s="3" t="s">
        <v>169</v>
      </c>
      <c r="H26" s="3" t="s">
        <v>45</v>
      </c>
      <c r="I26" s="69" t="s">
        <v>46</v>
      </c>
    </row>
    <row r="27" spans="1:9" x14ac:dyDescent="0.25">
      <c r="A27" s="108" t="s">
        <v>143</v>
      </c>
      <c r="B27" s="30" t="s">
        <v>144</v>
      </c>
      <c r="C27" s="30" t="s">
        <v>130</v>
      </c>
      <c r="D27" s="30" t="s">
        <v>131</v>
      </c>
      <c r="E27" s="31">
        <v>29269</v>
      </c>
      <c r="F27" s="30" t="s">
        <v>161</v>
      </c>
      <c r="G27" s="3" t="s">
        <v>171</v>
      </c>
      <c r="H27" s="3" t="s">
        <v>171</v>
      </c>
      <c r="I27" s="68" t="s">
        <v>173</v>
      </c>
    </row>
    <row r="28" spans="1:9" x14ac:dyDescent="0.25">
      <c r="A28" s="108" t="s">
        <v>145</v>
      </c>
      <c r="B28" s="30" t="s">
        <v>146</v>
      </c>
      <c r="C28" s="30" t="s">
        <v>132</v>
      </c>
      <c r="D28" s="30" t="s">
        <v>133</v>
      </c>
      <c r="E28" s="31">
        <v>28354</v>
      </c>
      <c r="F28" s="30" t="s">
        <v>162</v>
      </c>
      <c r="G28" s="3" t="s">
        <v>170</v>
      </c>
      <c r="H28" s="3" t="s">
        <v>39</v>
      </c>
      <c r="I28" s="68" t="s">
        <v>40</v>
      </c>
    </row>
    <row r="29" spans="1:9" x14ac:dyDescent="0.25">
      <c r="A29" s="108" t="s">
        <v>147</v>
      </c>
      <c r="B29" s="30" t="s">
        <v>148</v>
      </c>
      <c r="C29" s="30" t="s">
        <v>134</v>
      </c>
      <c r="D29" s="30" t="s">
        <v>135</v>
      </c>
      <c r="E29" s="31">
        <v>27694</v>
      </c>
      <c r="F29" s="30" t="s">
        <v>163</v>
      </c>
      <c r="G29" s="3" t="s">
        <v>45</v>
      </c>
      <c r="H29" s="3" t="s">
        <v>45</v>
      </c>
      <c r="I29" s="69" t="s">
        <v>46</v>
      </c>
    </row>
    <row r="30" spans="1:9" ht="13.8" thickBot="1" x14ac:dyDescent="0.3">
      <c r="A30" s="109" t="s">
        <v>149</v>
      </c>
      <c r="B30" s="102" t="s">
        <v>101</v>
      </c>
      <c r="C30" s="102" t="s">
        <v>113</v>
      </c>
      <c r="D30" s="102" t="s">
        <v>136</v>
      </c>
      <c r="E30" s="110">
        <v>30052</v>
      </c>
      <c r="F30" s="102" t="s">
        <v>164</v>
      </c>
      <c r="G30" s="111" t="s">
        <v>172</v>
      </c>
      <c r="H30" s="111" t="s">
        <v>172</v>
      </c>
      <c r="I30" s="70" t="s">
        <v>174</v>
      </c>
    </row>
  </sheetData>
  <phoneticPr fontId="13" type="noConversion"/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7:C23"/>
  <sheetViews>
    <sheetView showGridLines="0" topLeftCell="A7" workbookViewId="0">
      <selection activeCell="B14" sqref="B14:C14"/>
    </sheetView>
  </sheetViews>
  <sheetFormatPr baseColWidth="10" defaultRowHeight="13.2" x14ac:dyDescent="0.25"/>
  <sheetData>
    <row r="7" spans="1:3" ht="22.8" x14ac:dyDescent="0.4">
      <c r="A7" s="22" t="s">
        <v>69</v>
      </c>
    </row>
    <row r="8" spans="1:3" x14ac:dyDescent="0.25">
      <c r="A8" t="s">
        <v>150</v>
      </c>
    </row>
    <row r="9" spans="1:3" ht="13.8" thickBot="1" x14ac:dyDescent="0.3"/>
    <row r="10" spans="1:3" ht="13.8" thickBot="1" x14ac:dyDescent="0.3">
      <c r="A10" s="23" t="s">
        <v>26</v>
      </c>
    </row>
    <row r="11" spans="1:3" ht="13.8" thickBot="1" x14ac:dyDescent="0.3">
      <c r="A11" s="24" t="s">
        <v>47</v>
      </c>
    </row>
    <row r="13" spans="1:3" ht="13.8" thickBot="1" x14ac:dyDescent="0.3">
      <c r="A13" s="25" t="s">
        <v>54</v>
      </c>
    </row>
    <row r="14" spans="1:3" ht="13.8" thickBot="1" x14ac:dyDescent="0.3">
      <c r="A14" s="23" t="s">
        <v>27</v>
      </c>
      <c r="B14" s="286" t="s">
        <v>416</v>
      </c>
      <c r="C14" s="285"/>
    </row>
    <row r="15" spans="1:3" ht="13.8" thickBot="1" x14ac:dyDescent="0.3">
      <c r="A15" s="23" t="s">
        <v>28</v>
      </c>
      <c r="B15" s="284"/>
      <c r="C15" s="285"/>
    </row>
    <row r="16" spans="1:3" ht="13.8" thickBot="1" x14ac:dyDescent="0.3">
      <c r="A16" s="23" t="s">
        <v>29</v>
      </c>
      <c r="B16" s="284"/>
      <c r="C16" s="285"/>
    </row>
    <row r="17" spans="1:3" ht="13.8" thickBot="1" x14ac:dyDescent="0.3">
      <c r="A17" s="52" t="s">
        <v>30</v>
      </c>
      <c r="B17" s="287"/>
      <c r="C17" s="288"/>
    </row>
    <row r="19" spans="1:3" ht="13.8" thickBot="1" x14ac:dyDescent="0.3"/>
    <row r="20" spans="1:3" ht="13.8" thickBot="1" x14ac:dyDescent="0.3">
      <c r="A20" s="23" t="s">
        <v>31</v>
      </c>
      <c r="B20" s="284"/>
      <c r="C20" s="285"/>
    </row>
    <row r="21" spans="1:3" ht="13.8" thickBot="1" x14ac:dyDescent="0.3">
      <c r="A21" s="23" t="s">
        <v>32</v>
      </c>
      <c r="B21" s="284"/>
      <c r="C21" s="285"/>
    </row>
    <row r="22" spans="1:3" ht="13.8" thickBot="1" x14ac:dyDescent="0.3">
      <c r="A22" s="23" t="s">
        <v>33</v>
      </c>
      <c r="B22" s="284"/>
      <c r="C22" s="285"/>
    </row>
    <row r="23" spans="1:3" ht="13.8" thickBot="1" x14ac:dyDescent="0.3">
      <c r="A23" s="52" t="s">
        <v>34</v>
      </c>
      <c r="B23" s="284"/>
      <c r="C23" s="285"/>
    </row>
  </sheetData>
  <mergeCells count="8">
    <mergeCell ref="B20:C20"/>
    <mergeCell ref="B21:C21"/>
    <mergeCell ref="B22:C22"/>
    <mergeCell ref="B23:C23"/>
    <mergeCell ref="B14:C14"/>
    <mergeCell ref="B15:C15"/>
    <mergeCell ref="B16:C16"/>
    <mergeCell ref="B17:C17"/>
  </mergeCells>
  <phoneticPr fontId="13" type="noConversion"/>
  <pageMargins left="0.75" right="0.75" top="1" bottom="1" header="0" footer="0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/>
  <dimension ref="A1:D29"/>
  <sheetViews>
    <sheetView showGridLines="0" workbookViewId="0">
      <selection activeCell="F18" sqref="F18"/>
    </sheetView>
  </sheetViews>
  <sheetFormatPr baseColWidth="10" defaultRowHeight="13.2" x14ac:dyDescent="0.25"/>
  <cols>
    <col min="3" max="3" width="43.44140625" bestFit="1" customWidth="1"/>
    <col min="4" max="4" width="21.88671875" customWidth="1"/>
  </cols>
  <sheetData>
    <row r="1" spans="1:4" ht="20.399999999999999" x14ac:dyDescent="0.35">
      <c r="C1" s="71"/>
      <c r="D1" s="112" t="s">
        <v>175</v>
      </c>
    </row>
    <row r="2" spans="1:4" ht="20.399999999999999" x14ac:dyDescent="0.35">
      <c r="B2" s="71"/>
      <c r="D2" s="73"/>
    </row>
    <row r="3" spans="1:4" ht="15" x14ac:dyDescent="0.25">
      <c r="D3" s="74"/>
    </row>
    <row r="4" spans="1:4" ht="15.6" x14ac:dyDescent="0.3">
      <c r="B4" s="289" t="s">
        <v>177</v>
      </c>
      <c r="C4" s="289"/>
      <c r="D4" s="75"/>
    </row>
    <row r="5" spans="1:4" ht="16.2" thickBot="1" x14ac:dyDescent="0.35">
      <c r="B5" s="290" t="s">
        <v>178</v>
      </c>
      <c r="C5" s="290"/>
      <c r="D5" s="75"/>
    </row>
    <row r="6" spans="1:4" ht="16.2" thickBot="1" x14ac:dyDescent="0.3">
      <c r="A6" s="77" t="s">
        <v>203</v>
      </c>
      <c r="B6" s="77" t="s">
        <v>226</v>
      </c>
      <c r="C6" s="77" t="s">
        <v>179</v>
      </c>
      <c r="D6" s="78" t="s">
        <v>202</v>
      </c>
    </row>
    <row r="7" spans="1:4" ht="15" x14ac:dyDescent="0.25">
      <c r="A7" s="92" t="s">
        <v>204</v>
      </c>
      <c r="B7" s="93">
        <v>20</v>
      </c>
      <c r="C7" s="92" t="s">
        <v>180</v>
      </c>
      <c r="D7" s="94">
        <v>6000</v>
      </c>
    </row>
    <row r="8" spans="1:4" ht="15" x14ac:dyDescent="0.25">
      <c r="A8" s="79" t="s">
        <v>205</v>
      </c>
      <c r="B8" s="91">
        <v>40</v>
      </c>
      <c r="C8" s="81" t="s">
        <v>181</v>
      </c>
      <c r="D8" s="80">
        <v>8000</v>
      </c>
    </row>
    <row r="9" spans="1:4" ht="15" x14ac:dyDescent="0.25">
      <c r="A9" s="79" t="s">
        <v>206</v>
      </c>
      <c r="B9" s="91">
        <v>75</v>
      </c>
      <c r="C9" s="81" t="s">
        <v>182</v>
      </c>
      <c r="D9" s="80">
        <v>45000</v>
      </c>
    </row>
    <row r="10" spans="1:4" ht="15" x14ac:dyDescent="0.25">
      <c r="A10" s="79" t="s">
        <v>207</v>
      </c>
      <c r="B10" s="91">
        <v>90</v>
      </c>
      <c r="C10" s="81" t="s">
        <v>183</v>
      </c>
      <c r="D10" s="80">
        <v>25000</v>
      </c>
    </row>
    <row r="11" spans="1:4" ht="15" x14ac:dyDescent="0.25">
      <c r="A11" s="79" t="s">
        <v>208</v>
      </c>
      <c r="B11" s="91">
        <v>117.5</v>
      </c>
      <c r="C11" s="81" t="s">
        <v>184</v>
      </c>
      <c r="D11" s="80">
        <v>15000</v>
      </c>
    </row>
    <row r="12" spans="1:4" ht="15" x14ac:dyDescent="0.25">
      <c r="A12" s="79" t="s">
        <v>209</v>
      </c>
      <c r="B12" s="91">
        <v>142</v>
      </c>
      <c r="C12" s="81" t="s">
        <v>185</v>
      </c>
      <c r="D12" s="80">
        <v>15000</v>
      </c>
    </row>
    <row r="13" spans="1:4" ht="15" x14ac:dyDescent="0.25">
      <c r="A13" s="79" t="s">
        <v>210</v>
      </c>
      <c r="B13" s="91">
        <v>166.5</v>
      </c>
      <c r="C13" s="79" t="s">
        <v>186</v>
      </c>
      <c r="D13" s="80">
        <v>18000</v>
      </c>
    </row>
    <row r="14" spans="1:4" ht="15" x14ac:dyDescent="0.25">
      <c r="A14" s="79" t="s">
        <v>211</v>
      </c>
      <c r="B14" s="91">
        <v>191</v>
      </c>
      <c r="C14" s="79" t="s">
        <v>187</v>
      </c>
      <c r="D14" s="80">
        <v>6000</v>
      </c>
    </row>
    <row r="15" spans="1:4" ht="15" x14ac:dyDescent="0.25">
      <c r="A15" s="79" t="s">
        <v>212</v>
      </c>
      <c r="B15" s="91">
        <v>215.5</v>
      </c>
      <c r="C15" s="81" t="s">
        <v>188</v>
      </c>
      <c r="D15" s="80">
        <v>8500</v>
      </c>
    </row>
    <row r="16" spans="1:4" ht="15" x14ac:dyDescent="0.25">
      <c r="A16" s="79" t="s">
        <v>213</v>
      </c>
      <c r="B16" s="91">
        <v>240</v>
      </c>
      <c r="C16" s="79" t="s">
        <v>189</v>
      </c>
      <c r="D16" s="80">
        <v>18000</v>
      </c>
    </row>
    <row r="17" spans="1:4" ht="15" x14ac:dyDescent="0.25">
      <c r="A17" s="79" t="s">
        <v>214</v>
      </c>
      <c r="B17" s="91">
        <v>264.5</v>
      </c>
      <c r="C17" s="79" t="s">
        <v>190</v>
      </c>
      <c r="D17" s="80">
        <v>25000</v>
      </c>
    </row>
    <row r="18" spans="1:4" ht="15" x14ac:dyDescent="0.25">
      <c r="A18" s="79" t="s">
        <v>215</v>
      </c>
      <c r="B18" s="91">
        <v>289</v>
      </c>
      <c r="C18" s="81" t="s">
        <v>191</v>
      </c>
      <c r="D18" s="80">
        <v>15000</v>
      </c>
    </row>
    <row r="19" spans="1:4" ht="15" x14ac:dyDescent="0.25">
      <c r="A19" s="79" t="s">
        <v>216</v>
      </c>
      <c r="B19" s="91">
        <v>313.5</v>
      </c>
      <c r="C19" s="79" t="s">
        <v>192</v>
      </c>
      <c r="D19" s="80">
        <v>15000</v>
      </c>
    </row>
    <row r="20" spans="1:4" ht="15" x14ac:dyDescent="0.25">
      <c r="A20" s="79" t="s">
        <v>217</v>
      </c>
      <c r="B20" s="91">
        <v>338</v>
      </c>
      <c r="C20" s="79" t="s">
        <v>193</v>
      </c>
      <c r="D20" s="80">
        <v>1000</v>
      </c>
    </row>
    <row r="21" spans="1:4" ht="15" x14ac:dyDescent="0.25">
      <c r="A21" s="79" t="s">
        <v>218</v>
      </c>
      <c r="B21" s="91">
        <v>362.5</v>
      </c>
      <c r="C21" s="81" t="s">
        <v>194</v>
      </c>
      <c r="D21" s="80">
        <v>8000</v>
      </c>
    </row>
    <row r="22" spans="1:4" ht="15" x14ac:dyDescent="0.25">
      <c r="A22" s="79" t="s">
        <v>219</v>
      </c>
      <c r="B22" s="91">
        <v>387</v>
      </c>
      <c r="C22" s="81" t="s">
        <v>195</v>
      </c>
      <c r="D22" s="80">
        <v>8000</v>
      </c>
    </row>
    <row r="23" spans="1:4" ht="15" x14ac:dyDescent="0.25">
      <c r="A23" s="79" t="s">
        <v>220</v>
      </c>
      <c r="B23" s="91">
        <v>411.5</v>
      </c>
      <c r="C23" s="81" t="s">
        <v>196</v>
      </c>
      <c r="D23" s="80">
        <v>8000</v>
      </c>
    </row>
    <row r="24" spans="1:4" ht="15" x14ac:dyDescent="0.25">
      <c r="A24" s="79" t="s">
        <v>221</v>
      </c>
      <c r="B24" s="91">
        <v>436</v>
      </c>
      <c r="C24" s="79" t="s">
        <v>197</v>
      </c>
      <c r="D24" s="80">
        <v>8000</v>
      </c>
    </row>
    <row r="25" spans="1:4" ht="15" x14ac:dyDescent="0.25">
      <c r="A25" s="79" t="s">
        <v>222</v>
      </c>
      <c r="B25" s="91">
        <v>460.5</v>
      </c>
      <c r="C25" s="81" t="s">
        <v>198</v>
      </c>
      <c r="D25" s="80">
        <v>15000</v>
      </c>
    </row>
    <row r="26" spans="1:4" ht="15" x14ac:dyDescent="0.25">
      <c r="A26" s="79" t="s">
        <v>223</v>
      </c>
      <c r="B26" s="91">
        <v>485</v>
      </c>
      <c r="C26" s="79" t="s">
        <v>199</v>
      </c>
      <c r="D26" s="80">
        <v>12000</v>
      </c>
    </row>
    <row r="27" spans="1:4" ht="15" x14ac:dyDescent="0.25">
      <c r="A27" s="79" t="s">
        <v>224</v>
      </c>
      <c r="B27" s="91">
        <v>509.5</v>
      </c>
      <c r="C27" s="81" t="s">
        <v>200</v>
      </c>
      <c r="D27" s="80">
        <v>18000</v>
      </c>
    </row>
    <row r="28" spans="1:4" ht="15.6" thickBot="1" x14ac:dyDescent="0.3">
      <c r="A28" s="86" t="s">
        <v>225</v>
      </c>
      <c r="B28" s="95">
        <v>534</v>
      </c>
      <c r="C28" s="82" t="s">
        <v>201</v>
      </c>
      <c r="D28" s="83">
        <v>8500</v>
      </c>
    </row>
    <row r="29" spans="1:4" ht="17.399999999999999" x14ac:dyDescent="0.3">
      <c r="C29" s="84"/>
      <c r="D29" s="85"/>
    </row>
  </sheetData>
  <mergeCells count="2">
    <mergeCell ref="B4:C4"/>
    <mergeCell ref="B5:C5"/>
  </mergeCells>
  <phoneticPr fontId="13" type="noConversion"/>
  <pageMargins left="0.75" right="0.75" top="1" bottom="1" header="0" footer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/>
  <dimension ref="A1:D24"/>
  <sheetViews>
    <sheetView showGridLines="0" topLeftCell="A3" workbookViewId="0">
      <selection activeCell="B10" sqref="B10"/>
    </sheetView>
  </sheetViews>
  <sheetFormatPr baseColWidth="10" defaultRowHeight="13.2" x14ac:dyDescent="0.25"/>
  <cols>
    <col min="1" max="1" width="15.6640625" customWidth="1"/>
    <col min="2" max="2" width="43.44140625" bestFit="1" customWidth="1"/>
    <col min="3" max="3" width="21.88671875" customWidth="1"/>
  </cols>
  <sheetData>
    <row r="1" spans="1:4" ht="20.399999999999999" x14ac:dyDescent="0.35">
      <c r="A1" s="291" t="s">
        <v>175</v>
      </c>
      <c r="B1" s="291"/>
      <c r="C1" s="72" t="s">
        <v>176</v>
      </c>
    </row>
    <row r="2" spans="1:4" ht="20.399999999999999" x14ac:dyDescent="0.35">
      <c r="A2" s="71"/>
      <c r="C2" s="73"/>
    </row>
    <row r="3" spans="1:4" ht="15.6" x14ac:dyDescent="0.3">
      <c r="A3" s="289" t="s">
        <v>177</v>
      </c>
      <c r="B3" s="289"/>
      <c r="C3" s="74"/>
    </row>
    <row r="4" spans="1:4" ht="15.6" x14ac:dyDescent="0.3">
      <c r="A4" s="289" t="s">
        <v>178</v>
      </c>
      <c r="B4" s="289"/>
      <c r="C4" s="75"/>
    </row>
    <row r="5" spans="1:4" ht="15.6" thickBot="1" x14ac:dyDescent="0.3">
      <c r="B5" s="76"/>
      <c r="C5" s="75"/>
    </row>
    <row r="6" spans="1:4" ht="16.2" thickBot="1" x14ac:dyDescent="0.3">
      <c r="B6" s="89" t="s">
        <v>203</v>
      </c>
    </row>
    <row r="7" spans="1:4" ht="15.6" thickBot="1" x14ac:dyDescent="0.3">
      <c r="B7" s="90" t="s">
        <v>204</v>
      </c>
    </row>
    <row r="9" spans="1:4" ht="13.8" thickBot="1" x14ac:dyDescent="0.3">
      <c r="D9" s="25" t="s">
        <v>231</v>
      </c>
    </row>
    <row r="10" spans="1:4" ht="16.2" thickBot="1" x14ac:dyDescent="0.3">
      <c r="A10" s="87" t="s">
        <v>226</v>
      </c>
      <c r="B10" s="79"/>
    </row>
    <row r="11" spans="1:4" ht="13.8" thickBot="1" x14ac:dyDescent="0.3">
      <c r="D11" t="s">
        <v>232</v>
      </c>
    </row>
    <row r="12" spans="1:4" ht="16.2" thickBot="1" x14ac:dyDescent="0.3">
      <c r="A12" s="87" t="s">
        <v>179</v>
      </c>
      <c r="B12" s="79"/>
      <c r="D12" t="s">
        <v>233</v>
      </c>
    </row>
    <row r="13" spans="1:4" ht="13.8" thickBot="1" x14ac:dyDescent="0.3">
      <c r="D13" t="s">
        <v>234</v>
      </c>
    </row>
    <row r="14" spans="1:4" ht="16.2" thickBot="1" x14ac:dyDescent="0.3">
      <c r="A14" s="88" t="s">
        <v>202</v>
      </c>
      <c r="B14" s="79"/>
      <c r="D14" t="s">
        <v>235</v>
      </c>
    </row>
    <row r="15" spans="1:4" ht="13.8" thickBot="1" x14ac:dyDescent="0.3">
      <c r="D15" t="s">
        <v>236</v>
      </c>
    </row>
    <row r="16" spans="1:4" ht="16.2" thickBot="1" x14ac:dyDescent="0.3">
      <c r="A16" s="96" t="s">
        <v>227</v>
      </c>
      <c r="B16" s="97"/>
    </row>
    <row r="17" spans="1:2" ht="13.8" thickBot="1" x14ac:dyDescent="0.3"/>
    <row r="18" spans="1:2" ht="16.2" thickBot="1" x14ac:dyDescent="0.3">
      <c r="A18" s="96" t="s">
        <v>228</v>
      </c>
      <c r="B18" s="97"/>
    </row>
    <row r="19" spans="1:2" ht="13.8" thickBot="1" x14ac:dyDescent="0.3"/>
    <row r="20" spans="1:2" ht="16.2" thickBot="1" x14ac:dyDescent="0.3">
      <c r="A20" s="96" t="s">
        <v>9</v>
      </c>
      <c r="B20" s="97"/>
    </row>
    <row r="21" spans="1:2" ht="13.8" thickBot="1" x14ac:dyDescent="0.3"/>
    <row r="22" spans="1:2" ht="16.2" thickBot="1" x14ac:dyDescent="0.3">
      <c r="A22" s="96" t="s">
        <v>229</v>
      </c>
      <c r="B22" s="97"/>
    </row>
    <row r="23" spans="1:2" ht="13.8" thickBot="1" x14ac:dyDescent="0.3"/>
    <row r="24" spans="1:2" ht="16.2" thickBot="1" x14ac:dyDescent="0.3">
      <c r="A24" s="96" t="s">
        <v>230</v>
      </c>
      <c r="B24" s="97"/>
    </row>
  </sheetData>
  <mergeCells count="3">
    <mergeCell ref="A1:B1"/>
    <mergeCell ref="A3:B3"/>
    <mergeCell ref="A4:B4"/>
  </mergeCells>
  <phoneticPr fontId="13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Inicio</vt:lpstr>
      <vt:lpstr>BaseVisa</vt:lpstr>
      <vt:lpstr>ConsultaVisa</vt:lpstr>
      <vt:lpstr>Planilla</vt:lpstr>
      <vt:lpstr>Liquidación</vt:lpstr>
      <vt:lpstr>Base</vt:lpstr>
      <vt:lpstr>Consulta</vt:lpstr>
      <vt:lpstr>Base2</vt:lpstr>
      <vt:lpstr>Consulta2</vt:lpstr>
      <vt:lpstr>Hoja1</vt:lpstr>
      <vt:lpstr>Ejercicio</vt:lpstr>
      <vt:lpstr>Coincidir</vt:lpstr>
      <vt:lpstr>automotriz</vt:lpstr>
      <vt:lpstr>Ejercicio!Horas</vt:lpstr>
      <vt:lpstr>HORAS</vt:lpstr>
      <vt:lpstr>sueldos</vt:lpstr>
      <vt:lpstr>VISA</vt:lpstr>
    </vt:vector>
  </TitlesOfParts>
  <Company>sysvecom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vcomunidad</dc:creator>
  <cp:lastModifiedBy>Patricia De Barbieri</cp:lastModifiedBy>
  <cp:lastPrinted>2012-07-04T00:57:16Z</cp:lastPrinted>
  <dcterms:created xsi:type="dcterms:W3CDTF">2003-08-23T00:04:51Z</dcterms:created>
  <dcterms:modified xsi:type="dcterms:W3CDTF">2025-09-08T23:38:39Z</dcterms:modified>
</cp:coreProperties>
</file>